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250" windowHeight="10050"/>
  </bookViews>
  <sheets>
    <sheet name="egresos OG" sheetId="1" r:id="rId1"/>
  </sheets>
  <definedNames>
    <definedName name="_xlnm.Print_Titles" localSheetId="0">'egresos OG'!$1:$8</definedName>
  </definedNames>
  <calcPr calcId="145621"/>
</workbook>
</file>

<file path=xl/calcChain.xml><?xml version="1.0" encoding="utf-8"?>
<calcChain xmlns="http://schemas.openxmlformats.org/spreadsheetml/2006/main">
  <c r="E157" i="1" l="1"/>
  <c r="H150" i="1"/>
  <c r="G150" i="1"/>
  <c r="F150" i="1"/>
  <c r="E150" i="1"/>
  <c r="D150" i="1"/>
  <c r="C150" i="1"/>
  <c r="E149" i="1"/>
  <c r="H146" i="1"/>
  <c r="G146" i="1"/>
  <c r="F146" i="1"/>
  <c r="E146" i="1"/>
  <c r="D146" i="1"/>
  <c r="C146" i="1"/>
  <c r="E135" i="1"/>
  <c r="E134" i="1"/>
  <c r="G133" i="1"/>
  <c r="F133" i="1"/>
  <c r="E133" i="1"/>
  <c r="H133" i="1" s="1"/>
  <c r="D133" i="1"/>
  <c r="C133" i="1"/>
  <c r="E129" i="1"/>
  <c r="E127" i="1"/>
  <c r="E126" i="1"/>
  <c r="E125" i="1"/>
  <c r="G124" i="1"/>
  <c r="E124" i="1"/>
  <c r="H123" i="1"/>
  <c r="G123" i="1"/>
  <c r="F123" i="1"/>
  <c r="E123" i="1"/>
  <c r="D123" i="1"/>
  <c r="C123" i="1"/>
  <c r="E114" i="1"/>
  <c r="H113" i="1"/>
  <c r="G113" i="1"/>
  <c r="F113" i="1"/>
  <c r="E113" i="1"/>
  <c r="D113" i="1"/>
  <c r="C113" i="1"/>
  <c r="E112" i="1"/>
  <c r="E111" i="1"/>
  <c r="G110" i="1"/>
  <c r="E110" i="1"/>
  <c r="E109" i="1"/>
  <c r="E108" i="1"/>
  <c r="E107" i="1"/>
  <c r="G106" i="1"/>
  <c r="E106" i="1"/>
  <c r="E105" i="1"/>
  <c r="E104" i="1"/>
  <c r="G103" i="1"/>
  <c r="F103" i="1"/>
  <c r="E103" i="1"/>
  <c r="H103" i="1" s="1"/>
  <c r="D103" i="1"/>
  <c r="C103" i="1"/>
  <c r="E102" i="1"/>
  <c r="E100" i="1"/>
  <c r="E99" i="1"/>
  <c r="E97" i="1"/>
  <c r="E95" i="1"/>
  <c r="E94" i="1"/>
  <c r="E93" i="1" s="1"/>
  <c r="E84" i="1" s="1"/>
  <c r="G93" i="1"/>
  <c r="F93" i="1"/>
  <c r="F84" i="1" s="1"/>
  <c r="D93" i="1"/>
  <c r="D84" i="1" s="1"/>
  <c r="C93" i="1"/>
  <c r="E90" i="1"/>
  <c r="E89" i="1"/>
  <c r="G85" i="1"/>
  <c r="F85" i="1"/>
  <c r="E85" i="1"/>
  <c r="D85" i="1"/>
  <c r="C85" i="1"/>
  <c r="G84" i="1"/>
  <c r="C84" i="1"/>
  <c r="G82" i="1"/>
  <c r="G75" i="1" s="1"/>
  <c r="F82" i="1"/>
  <c r="E82" i="1"/>
  <c r="H82" i="1" s="1"/>
  <c r="H75" i="1" s="1"/>
  <c r="D82" i="1"/>
  <c r="E81" i="1"/>
  <c r="E80" i="1"/>
  <c r="E79" i="1"/>
  <c r="E78" i="1"/>
  <c r="E77" i="1"/>
  <c r="E75" i="1" s="1"/>
  <c r="E76" i="1"/>
  <c r="F75" i="1"/>
  <c r="D75" i="1"/>
  <c r="C75" i="1"/>
  <c r="G74" i="1"/>
  <c r="F74" i="1"/>
  <c r="E74" i="1"/>
  <c r="G71" i="1"/>
  <c r="F71" i="1"/>
  <c r="E71" i="1"/>
  <c r="H71" i="1" s="1"/>
  <c r="D71" i="1"/>
  <c r="H57" i="1"/>
  <c r="E57" i="1"/>
  <c r="H56" i="1"/>
  <c r="E56" i="1"/>
  <c r="H55" i="1"/>
  <c r="E55" i="1"/>
  <c r="G54" i="1"/>
  <c r="F54" i="1"/>
  <c r="D54" i="1"/>
  <c r="E54" i="1" s="1"/>
  <c r="H54" i="1" s="1"/>
  <c r="E53" i="1"/>
  <c r="H53" i="1" s="1"/>
  <c r="G52" i="1"/>
  <c r="F52" i="1"/>
  <c r="E52" i="1"/>
  <c r="H52" i="1" s="1"/>
  <c r="D52" i="1"/>
  <c r="G51" i="1"/>
  <c r="F51" i="1"/>
  <c r="H51" i="1" s="1"/>
  <c r="E51" i="1"/>
  <c r="G50" i="1"/>
  <c r="F50" i="1"/>
  <c r="D50" i="1"/>
  <c r="E50" i="1" s="1"/>
  <c r="H50" i="1" s="1"/>
  <c r="G49" i="1"/>
  <c r="G48" i="1" s="1"/>
  <c r="G9" i="1" s="1"/>
  <c r="G159" i="1" s="1"/>
  <c r="F49" i="1"/>
  <c r="E49" i="1"/>
  <c r="H49" i="1" s="1"/>
  <c r="H48" i="1" s="1"/>
  <c r="D49" i="1"/>
  <c r="F48" i="1"/>
  <c r="D48" i="1"/>
  <c r="C48" i="1"/>
  <c r="E43" i="1"/>
  <c r="E42" i="1"/>
  <c r="H42" i="1" s="1"/>
  <c r="E41" i="1"/>
  <c r="H40" i="1"/>
  <c r="E40" i="1"/>
  <c r="G39" i="1"/>
  <c r="F39" i="1"/>
  <c r="F38" i="1" s="1"/>
  <c r="D39" i="1"/>
  <c r="E39" i="1" s="1"/>
  <c r="G38" i="1"/>
  <c r="C38" i="1"/>
  <c r="G37" i="1"/>
  <c r="F37" i="1"/>
  <c r="E37" i="1"/>
  <c r="H37" i="1" s="1"/>
  <c r="D37" i="1"/>
  <c r="G36" i="1"/>
  <c r="F36" i="1"/>
  <c r="D36" i="1"/>
  <c r="E36" i="1" s="1"/>
  <c r="H36" i="1" s="1"/>
  <c r="G35" i="1"/>
  <c r="F35" i="1"/>
  <c r="E35" i="1"/>
  <c r="H35" i="1" s="1"/>
  <c r="D35" i="1"/>
  <c r="G34" i="1"/>
  <c r="F34" i="1"/>
  <c r="D34" i="1"/>
  <c r="E34" i="1" s="1"/>
  <c r="H34" i="1" s="1"/>
  <c r="G33" i="1"/>
  <c r="F33" i="1"/>
  <c r="E33" i="1"/>
  <c r="H33" i="1" s="1"/>
  <c r="C33" i="1"/>
  <c r="G32" i="1"/>
  <c r="F32" i="1"/>
  <c r="D32" i="1"/>
  <c r="E32" i="1" s="1"/>
  <c r="H32" i="1" s="1"/>
  <c r="G31" i="1"/>
  <c r="F31" i="1"/>
  <c r="E31" i="1"/>
  <c r="H31" i="1" s="1"/>
  <c r="D31" i="1"/>
  <c r="G30" i="1"/>
  <c r="F30" i="1"/>
  <c r="F28" i="1" s="1"/>
  <c r="C30" i="1"/>
  <c r="E30" i="1" s="1"/>
  <c r="G29" i="1"/>
  <c r="F29" i="1"/>
  <c r="E29" i="1"/>
  <c r="H29" i="1" s="1"/>
  <c r="C29" i="1"/>
  <c r="G28" i="1"/>
  <c r="C28" i="1"/>
  <c r="G27" i="1"/>
  <c r="F27" i="1"/>
  <c r="E27" i="1"/>
  <c r="H27" i="1" s="1"/>
  <c r="D27" i="1"/>
  <c r="H26" i="1"/>
  <c r="E26" i="1"/>
  <c r="G25" i="1"/>
  <c r="F25" i="1"/>
  <c r="D25" i="1"/>
  <c r="E25" i="1" s="1"/>
  <c r="H25" i="1" s="1"/>
  <c r="G24" i="1"/>
  <c r="F24" i="1"/>
  <c r="E24" i="1"/>
  <c r="H24" i="1" s="1"/>
  <c r="D24" i="1"/>
  <c r="H23" i="1"/>
  <c r="E23" i="1"/>
  <c r="G22" i="1"/>
  <c r="F22" i="1"/>
  <c r="D22" i="1"/>
  <c r="E22" i="1" s="1"/>
  <c r="H22" i="1" s="1"/>
  <c r="E21" i="1"/>
  <c r="H21" i="1" s="1"/>
  <c r="G20" i="1"/>
  <c r="F20" i="1"/>
  <c r="E20" i="1"/>
  <c r="H20" i="1" s="1"/>
  <c r="D20" i="1"/>
  <c r="G19" i="1"/>
  <c r="F19" i="1"/>
  <c r="F18" i="1" s="1"/>
  <c r="D19" i="1"/>
  <c r="E19" i="1" s="1"/>
  <c r="G18" i="1"/>
  <c r="C18" i="1"/>
  <c r="E17" i="1"/>
  <c r="E16" i="1"/>
  <c r="G15" i="1"/>
  <c r="F15" i="1"/>
  <c r="F10" i="1" s="1"/>
  <c r="F9" i="1" s="1"/>
  <c r="F159" i="1" s="1"/>
  <c r="D15" i="1"/>
  <c r="E15" i="1" s="1"/>
  <c r="E10" i="1" s="1"/>
  <c r="G14" i="1"/>
  <c r="F14" i="1"/>
  <c r="E14" i="1"/>
  <c r="H14" i="1" s="1"/>
  <c r="D14" i="1"/>
  <c r="E13" i="1"/>
  <c r="E12" i="1"/>
  <c r="E11" i="1"/>
  <c r="G10" i="1"/>
  <c r="C10" i="1"/>
  <c r="C9" i="1"/>
  <c r="C159" i="1" s="1"/>
  <c r="H19" i="1" l="1"/>
  <c r="E18" i="1"/>
  <c r="H18" i="1" s="1"/>
  <c r="H39" i="1"/>
  <c r="E38" i="1"/>
  <c r="H38" i="1" s="1"/>
  <c r="H84" i="1"/>
  <c r="H30" i="1"/>
  <c r="E28" i="1"/>
  <c r="H10" i="1"/>
  <c r="D10" i="1"/>
  <c r="D18" i="1"/>
  <c r="D28" i="1"/>
  <c r="D38" i="1"/>
  <c r="E48" i="1"/>
  <c r="E9" i="1" s="1"/>
  <c r="H9" i="1" l="1"/>
  <c r="H159" i="1" s="1"/>
  <c r="E159" i="1"/>
  <c r="D9" i="1"/>
  <c r="D159" i="1" s="1"/>
</calcChain>
</file>

<file path=xl/sharedStrings.xml><?xml version="1.0" encoding="utf-8"?>
<sst xmlns="http://schemas.openxmlformats.org/spreadsheetml/2006/main" count="163" uniqueCount="90">
  <si>
    <t>Municipio de Campeche</t>
  </si>
  <si>
    <t>Estado Analítico del Ejercicio del Presupuesto de Egresos Detallado - LDF</t>
  </si>
  <si>
    <t xml:space="preserve">Clasificación por Objeto del Gasto (Capítulo y Concepto) </t>
  </si>
  <si>
    <t>Del 1 de enero al 31 de Diciembre de 2016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</si>
  <si>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</si>
  <si>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</si>
  <si>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</si>
  <si>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</si>
  <si>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</si>
  <si>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</si>
  <si>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</si>
  <si>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</si>
  <si>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</si>
  <si>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</si>
  <si>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</si>
  <si>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</si>
  <si>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</si>
  <si>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</si>
  <si>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</si>
  <si>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</si>
  <si>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</si>
  <si>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</si>
  <si>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</si>
  <si>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</si>
  <si>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</si>
  <si>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</si>
  <si>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</si>
  <si>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</si>
  <si>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</si>
  <si>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</si>
  <si>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</si>
  <si>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</si>
  <si>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</si>
  <si>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</si>
  <si>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</si>
  <si>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</si>
  <si>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</si>
  <si>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</si>
  <si>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</si>
  <si>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</si>
  <si>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</si>
  <si>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</si>
  <si>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</si>
  <si>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</si>
  <si>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</si>
  <si>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</si>
  <si>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</si>
  <si>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</si>
  <si>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</si>
  <si>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</si>
  <si>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</si>
  <si>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</si>
  <si>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</si>
  <si>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</si>
  <si>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</si>
  <si>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</si>
  <si>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</si>
  <si>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</si>
  <si>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</si>
  <si>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</si>
  <si>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</si>
  <si>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</si>
  <si>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</si>
  <si>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</si>
  <si>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</si>
  <si>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</si>
  <si>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</si>
  <si>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</si>
  <si>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</si>
  <si>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</si>
  <si>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</si>
  <si>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</si>
  <si>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</si>
  <si>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</si>
  <si>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</si>
  <si>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</si>
  <si>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</si>
  <si>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</si>
  <si>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</si>
  <si>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</si>
  <si>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</si>
  <si>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</si>
  <si>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</si>
  <si>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</si>
  <si>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</si>
  <si>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</si>
  <si>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</si>
  <si>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</si>
  <si>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</si>
  <si>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CUENTA PUBLICA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</si>
</sst>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right" vertical="center"/>
    </xf>
    <xf numFmtId="43" fontId="2" fillId="0" borderId="1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165" fontId="6" fillId="0" borderId="10" xfId="2" applyNumberFormat="1" applyFont="1" applyFill="1" applyBorder="1" applyAlignment="1" applyProtection="1">
      <alignment horizontal="right"/>
      <protection locked="0"/>
    </xf>
    <xf numFmtId="165" fontId="6" fillId="0" borderId="10" xfId="2" applyNumberFormat="1" applyFont="1" applyFill="1" applyBorder="1" applyAlignment="1">
      <alignment horizontal="right"/>
    </xf>
    <xf numFmtId="164" fontId="4" fillId="0" borderId="10" xfId="0" applyNumberFormat="1" applyFont="1" applyFill="1" applyBorder="1" applyAlignment="1">
      <alignment horizontal="right" vertical="center"/>
    </xf>
    <xf numFmtId="1" fontId="4" fillId="0" borderId="10" xfId="0" applyNumberFormat="1" applyFont="1" applyFill="1" applyBorder="1" applyAlignment="1">
      <alignment horizontal="right" vertical="center"/>
    </xf>
    <xf numFmtId="164" fontId="6" fillId="0" borderId="10" xfId="2" applyNumberFormat="1" applyFont="1" applyFill="1" applyBorder="1" applyAlignment="1" applyProtection="1">
      <alignment horizontal="right"/>
      <protection locked="0"/>
    </xf>
    <xf numFmtId="164" fontId="7" fillId="0" borderId="10" xfId="1" applyNumberFormat="1" applyFont="1" applyFill="1" applyBorder="1" applyAlignment="1" applyProtection="1">
      <alignment horizontal="right"/>
      <protection locked="0"/>
    </xf>
    <xf numFmtId="164" fontId="4" fillId="0" borderId="10" xfId="1" applyNumberFormat="1" applyFont="1" applyFill="1" applyBorder="1" applyAlignment="1">
      <alignment horizontal="right" vertical="center"/>
    </xf>
    <xf numFmtId="1" fontId="4" fillId="0" borderId="10" xfId="1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164" fontId="2" fillId="0" borderId="10" xfId="1" applyNumberFormat="1" applyFont="1" applyFill="1" applyBorder="1" applyAlignment="1">
      <alignment horizontal="right" vertical="center"/>
    </xf>
    <xf numFmtId="43" fontId="2" fillId="0" borderId="10" xfId="1" applyFont="1" applyFill="1" applyBorder="1" applyAlignment="1">
      <alignment horizontal="right" vertical="center"/>
    </xf>
    <xf numFmtId="43" fontId="4" fillId="0" borderId="10" xfId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 vertical="center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43" fontId="4" fillId="0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43" fontId="3" fillId="0" borderId="0" xfId="1" applyFont="1" applyFill="1"/>
    <xf numFmtId="0" fontId="4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62"/>
  <sheetViews>
    <sheetView tabSelected="1" zoomScale="120" zoomScaleNormal="120" zoomScaleSheetLayoutView="80" workbookViewId="0">
      <selection activeCell="A2" sqref="A2:H2"/>
    </sheetView>
  </sheetViews>
  <sheetFormatPr baseColWidth="10" defaultColWidth="11.5703125" defaultRowHeight="11.25" x14ac:dyDescent="0.2"/>
  <cols>
    <col min="1" max="1" width="11.5703125" style="1"/>
    <col min="2" max="2" width="13.85546875" style="1" customWidth="1"/>
    <col min="3" max="3" width="12.42578125" style="1" bestFit="1" customWidth="1"/>
    <col min="4" max="4" width="12.28515625" style="1" bestFit="1" customWidth="1"/>
    <col min="5" max="5" width="13.28515625" style="1" bestFit="1" customWidth="1"/>
    <col min="6" max="7" width="13.7109375" style="1" bestFit="1" customWidth="1"/>
    <col min="8" max="8" width="11.7109375" style="1" bestFit="1" customWidth="1"/>
    <col min="9" max="16384" width="11.5703125" style="1"/>
  </cols>
  <sheetData>
    <row r="1" spans="1:8" x14ac:dyDescent="0.2">
      <c r="A1" s="39" t="s">
        <v>89</v>
      </c>
      <c r="B1" s="40"/>
      <c r="C1" s="40"/>
      <c r="D1" s="40"/>
      <c r="E1" s="40"/>
      <c r="F1" s="40"/>
      <c r="G1" s="40"/>
      <c r="H1" s="41"/>
    </row>
    <row r="2" spans="1:8" x14ac:dyDescent="0.2">
      <c r="A2" s="32" t="s">
        <v>0</v>
      </c>
      <c r="B2" s="42"/>
      <c r="C2" s="42"/>
      <c r="D2" s="42"/>
      <c r="E2" s="42"/>
      <c r="F2" s="42"/>
      <c r="G2" s="42"/>
      <c r="H2" s="33"/>
    </row>
    <row r="3" spans="1:8" x14ac:dyDescent="0.2">
      <c r="A3" s="32" t="s">
        <v>1</v>
      </c>
      <c r="B3" s="42"/>
      <c r="C3" s="42"/>
      <c r="D3" s="42"/>
      <c r="E3" s="42"/>
      <c r="F3" s="42"/>
      <c r="G3" s="42"/>
      <c r="H3" s="33"/>
    </row>
    <row r="4" spans="1:8" x14ac:dyDescent="0.2">
      <c r="A4" s="32" t="s">
        <v>2</v>
      </c>
      <c r="B4" s="42"/>
      <c r="C4" s="42"/>
      <c r="D4" s="42"/>
      <c r="E4" s="42"/>
      <c r="F4" s="42"/>
      <c r="G4" s="42"/>
      <c r="H4" s="33"/>
    </row>
    <row r="5" spans="1:8" x14ac:dyDescent="0.2">
      <c r="A5" s="32" t="s">
        <v>3</v>
      </c>
      <c r="B5" s="42"/>
      <c r="C5" s="42"/>
      <c r="D5" s="42"/>
      <c r="E5" s="42"/>
      <c r="F5" s="42"/>
      <c r="G5" s="42"/>
      <c r="H5" s="33"/>
    </row>
    <row r="6" spans="1:8" ht="12" thickBot="1" x14ac:dyDescent="0.25">
      <c r="A6" s="34" t="s">
        <v>4</v>
      </c>
      <c r="B6" s="35"/>
      <c r="C6" s="35"/>
      <c r="D6" s="35"/>
      <c r="E6" s="35"/>
      <c r="F6" s="35"/>
      <c r="G6" s="35"/>
      <c r="H6" s="36"/>
    </row>
    <row r="7" spans="1:8" ht="12" thickBot="1" x14ac:dyDescent="0.25">
      <c r="A7" s="32" t="s">
        <v>5</v>
      </c>
      <c r="B7" s="33"/>
      <c r="C7" s="34" t="s">
        <v>6</v>
      </c>
      <c r="D7" s="35"/>
      <c r="E7" s="35"/>
      <c r="F7" s="35"/>
      <c r="G7" s="36"/>
      <c r="H7" s="37" t="s">
        <v>7</v>
      </c>
    </row>
    <row r="8" spans="1:8" ht="22.5" x14ac:dyDescent="0.2">
      <c r="A8" s="32"/>
      <c r="B8" s="33"/>
      <c r="C8" s="2" t="s">
        <v>8</v>
      </c>
      <c r="D8" s="3" t="s">
        <v>9</v>
      </c>
      <c r="E8" s="2" t="s">
        <v>10</v>
      </c>
      <c r="F8" s="2" t="s">
        <v>11</v>
      </c>
      <c r="G8" s="2" t="s">
        <v>12</v>
      </c>
      <c r="H8" s="37"/>
    </row>
    <row r="9" spans="1:8" ht="25.9" customHeight="1" x14ac:dyDescent="0.2">
      <c r="A9" s="38" t="s">
        <v>13</v>
      </c>
      <c r="B9" s="38"/>
      <c r="C9" s="4">
        <f>C10+C18+C28+C38+C48+C71+C75</f>
        <v>640109530.7299999</v>
      </c>
      <c r="D9" s="4">
        <f t="shared" ref="D9:G9" si="0">D10+D18+D28+D38+D48+D71+D75</f>
        <v>335912774.48000002</v>
      </c>
      <c r="E9" s="4">
        <f t="shared" si="0"/>
        <v>976022304.81000006</v>
      </c>
      <c r="F9" s="4">
        <f t="shared" si="0"/>
        <v>974403828.43000007</v>
      </c>
      <c r="G9" s="4">
        <f t="shared" si="0"/>
        <v>928431015.38000011</v>
      </c>
      <c r="H9" s="4">
        <f>E9-F9</f>
        <v>1618476.3799999952</v>
      </c>
    </row>
    <row r="10" spans="1:8" s="7" customFormat="1" ht="25.9" customHeight="1" x14ac:dyDescent="0.2">
      <c r="A10" s="29" t="s">
        <v>14</v>
      </c>
      <c r="B10" s="29"/>
      <c r="C10" s="5">
        <f>SUM(C11:C17)</f>
        <v>191659359</v>
      </c>
      <c r="D10" s="6">
        <f t="shared" ref="D10:G10" si="1">SUM(D11:D17)</f>
        <v>183781163.08000001</v>
      </c>
      <c r="E10" s="6">
        <f t="shared" si="1"/>
        <v>375440522.07999998</v>
      </c>
      <c r="F10" s="5">
        <f t="shared" si="1"/>
        <v>375440521.01999998</v>
      </c>
      <c r="G10" s="6">
        <f t="shared" si="1"/>
        <v>364901555.11000001</v>
      </c>
      <c r="H10" s="6">
        <f>E10-F10</f>
        <v>1.0600000023841858</v>
      </c>
    </row>
    <row r="11" spans="1:8" s="7" customFormat="1" ht="25.9" customHeight="1" x14ac:dyDescent="0.2">
      <c r="A11" s="29" t="s">
        <v>15</v>
      </c>
      <c r="B11" s="29"/>
      <c r="C11" s="8">
        <v>75537353</v>
      </c>
      <c r="D11" s="8">
        <v>57540517.609999999</v>
      </c>
      <c r="E11" s="9">
        <f t="shared" ref="E11:E17" si="2">C11+D11</f>
        <v>133077870.61</v>
      </c>
      <c r="F11" s="8">
        <v>133077870.61</v>
      </c>
      <c r="G11" s="8">
        <v>133077870.61</v>
      </c>
      <c r="H11" s="8">
        <v>0</v>
      </c>
    </row>
    <row r="12" spans="1:8" s="7" customFormat="1" ht="25.9" customHeight="1" x14ac:dyDescent="0.2">
      <c r="A12" s="29" t="s">
        <v>16</v>
      </c>
      <c r="B12" s="29"/>
      <c r="C12" s="8">
        <v>323760</v>
      </c>
      <c r="D12" s="8">
        <v>45860931.509999998</v>
      </c>
      <c r="E12" s="9">
        <f t="shared" si="2"/>
        <v>46184691.509999998</v>
      </c>
      <c r="F12" s="8">
        <v>46184691.509999998</v>
      </c>
      <c r="G12" s="8">
        <v>46184691.509999998</v>
      </c>
      <c r="H12" s="8">
        <v>0</v>
      </c>
    </row>
    <row r="13" spans="1:8" s="7" customFormat="1" ht="25.9" customHeight="1" x14ac:dyDescent="0.2">
      <c r="A13" s="29" t="s">
        <v>17</v>
      </c>
      <c r="B13" s="29"/>
      <c r="C13" s="8">
        <v>68657634</v>
      </c>
      <c r="D13" s="8">
        <v>56808363.310000002</v>
      </c>
      <c r="E13" s="9">
        <f t="shared" si="2"/>
        <v>125465997.31</v>
      </c>
      <c r="F13" s="8">
        <v>125465997.31</v>
      </c>
      <c r="G13" s="8">
        <v>125458679.03</v>
      </c>
      <c r="H13" s="8">
        <v>0</v>
      </c>
    </row>
    <row r="14" spans="1:8" s="7" customFormat="1" ht="25.9" customHeight="1" x14ac:dyDescent="0.2">
      <c r="A14" s="29" t="s">
        <v>18</v>
      </c>
      <c r="B14" s="29"/>
      <c r="C14" s="8">
        <v>36927356</v>
      </c>
      <c r="D14" s="8">
        <f>23958467.33-11502337.64</f>
        <v>12456129.689999998</v>
      </c>
      <c r="E14" s="9">
        <f t="shared" si="2"/>
        <v>49383485.689999998</v>
      </c>
      <c r="F14" s="8">
        <f>60885822.27-9459845.98-2042491.66</f>
        <v>49383484.63000001</v>
      </c>
      <c r="G14" s="8">
        <f>51357810.93-11502337.64</f>
        <v>39855473.289999999</v>
      </c>
      <c r="H14" s="10">
        <f t="shared" ref="H14" si="3">E14-F14</f>
        <v>1.0599999874830246</v>
      </c>
    </row>
    <row r="15" spans="1:8" s="7" customFormat="1" ht="25.9" customHeight="1" x14ac:dyDescent="0.2">
      <c r="A15" s="29" t="s">
        <v>19</v>
      </c>
      <c r="B15" s="29"/>
      <c r="C15" s="8">
        <v>10213256</v>
      </c>
      <c r="D15" s="8">
        <f>11705220.96-620000</f>
        <v>11085220.960000001</v>
      </c>
      <c r="E15" s="9">
        <f t="shared" si="2"/>
        <v>21298476.960000001</v>
      </c>
      <c r="F15" s="8">
        <f>21918476.96-620000</f>
        <v>21298476.960000001</v>
      </c>
      <c r="G15" s="8">
        <f>20914840.67-620000</f>
        <v>20294840.670000002</v>
      </c>
      <c r="H15" s="8">
        <v>0</v>
      </c>
    </row>
    <row r="16" spans="1:8" s="7" customFormat="1" ht="25.9" customHeight="1" x14ac:dyDescent="0.2">
      <c r="A16" s="29" t="s">
        <v>20</v>
      </c>
      <c r="B16" s="29"/>
      <c r="C16" s="8">
        <v>0</v>
      </c>
      <c r="D16" s="8">
        <v>0</v>
      </c>
      <c r="E16" s="9">
        <f t="shared" si="2"/>
        <v>0</v>
      </c>
      <c r="F16" s="8">
        <v>0</v>
      </c>
      <c r="G16" s="8">
        <v>0</v>
      </c>
      <c r="H16" s="8">
        <v>0</v>
      </c>
    </row>
    <row r="17" spans="1:8" s="7" customFormat="1" ht="25.9" customHeight="1" x14ac:dyDescent="0.2">
      <c r="A17" s="29" t="s">
        <v>21</v>
      </c>
      <c r="B17" s="29"/>
      <c r="C17" s="8">
        <v>0</v>
      </c>
      <c r="D17" s="8">
        <v>30000</v>
      </c>
      <c r="E17" s="9">
        <f t="shared" si="2"/>
        <v>30000</v>
      </c>
      <c r="F17" s="8">
        <v>30000</v>
      </c>
      <c r="G17" s="8">
        <v>30000</v>
      </c>
      <c r="H17" s="8">
        <v>0</v>
      </c>
    </row>
    <row r="18" spans="1:8" s="7" customFormat="1" ht="25.9" customHeight="1" x14ac:dyDescent="0.2">
      <c r="A18" s="29" t="s">
        <v>22</v>
      </c>
      <c r="B18" s="29"/>
      <c r="C18" s="5">
        <f>SUM(C19:C27)</f>
        <v>40468891</v>
      </c>
      <c r="D18" s="6">
        <f t="shared" ref="D18:G18" si="4">SUM(D19:D27)</f>
        <v>54801520.540000007</v>
      </c>
      <c r="E18" s="6">
        <f t="shared" si="4"/>
        <v>95270411.540000007</v>
      </c>
      <c r="F18" s="6">
        <f t="shared" si="4"/>
        <v>95262756.510000005</v>
      </c>
      <c r="G18" s="6">
        <f t="shared" si="4"/>
        <v>83858564.690000013</v>
      </c>
      <c r="H18" s="6">
        <f>E18-F18</f>
        <v>7655.0300000011921</v>
      </c>
    </row>
    <row r="19" spans="1:8" s="7" customFormat="1" ht="25.9" customHeight="1" x14ac:dyDescent="0.2">
      <c r="A19" s="29" t="s">
        <v>23</v>
      </c>
      <c r="B19" s="29"/>
      <c r="C19" s="8">
        <v>12316978</v>
      </c>
      <c r="D19" s="8">
        <f>423402.43-218569.6</f>
        <v>204832.83</v>
      </c>
      <c r="E19" s="9">
        <f t="shared" ref="E19:E27" si="5">C19+D19</f>
        <v>12521810.83</v>
      </c>
      <c r="F19" s="8">
        <f>12740361.47-218569.6</f>
        <v>12521791.870000001</v>
      </c>
      <c r="G19" s="8">
        <f>8535671.77-218569.6</f>
        <v>8317102.1699999999</v>
      </c>
      <c r="H19" s="11">
        <f>E19-F19</f>
        <v>18.959999999031425</v>
      </c>
    </row>
    <row r="20" spans="1:8" s="7" customFormat="1" ht="25.9" customHeight="1" x14ac:dyDescent="0.2">
      <c r="A20" s="29" t="s">
        <v>24</v>
      </c>
      <c r="B20" s="29"/>
      <c r="C20" s="8">
        <v>2493482</v>
      </c>
      <c r="D20" s="8">
        <f>10773115.32-289644.01</f>
        <v>10483471.310000001</v>
      </c>
      <c r="E20" s="9">
        <f t="shared" si="5"/>
        <v>12976953.310000001</v>
      </c>
      <c r="F20" s="8">
        <f>13260057.32-289644.01</f>
        <v>12970413.310000001</v>
      </c>
      <c r="G20" s="8">
        <f>12235938.6-289644.01</f>
        <v>11946294.59</v>
      </c>
      <c r="H20" s="11">
        <f t="shared" ref="H20:H27" si="6">E20-F20</f>
        <v>6540</v>
      </c>
    </row>
    <row r="21" spans="1:8" s="7" customFormat="1" ht="25.9" customHeight="1" x14ac:dyDescent="0.2">
      <c r="A21" s="29" t="s">
        <v>25</v>
      </c>
      <c r="B21" s="29"/>
      <c r="C21" s="8">
        <v>0</v>
      </c>
      <c r="D21" s="8">
        <v>565</v>
      </c>
      <c r="E21" s="9">
        <f t="shared" si="5"/>
        <v>565</v>
      </c>
      <c r="F21" s="8">
        <v>565</v>
      </c>
      <c r="G21" s="8">
        <v>565</v>
      </c>
      <c r="H21" s="11">
        <f t="shared" si="6"/>
        <v>0</v>
      </c>
    </row>
    <row r="22" spans="1:8" s="7" customFormat="1" ht="25.9" customHeight="1" x14ac:dyDescent="0.2">
      <c r="A22" s="29" t="s">
        <v>26</v>
      </c>
      <c r="B22" s="29"/>
      <c r="C22" s="8">
        <v>2512802</v>
      </c>
      <c r="D22" s="8">
        <f>39565800.45-8168384.07</f>
        <v>31397416.380000003</v>
      </c>
      <c r="E22" s="9">
        <f t="shared" si="5"/>
        <v>33910218.380000003</v>
      </c>
      <c r="F22" s="8">
        <f>42077510.98-8168384.07</f>
        <v>33909126.909999996</v>
      </c>
      <c r="G22" s="8">
        <f>37539321.53-8168384.07</f>
        <v>29370937.460000001</v>
      </c>
      <c r="H22" s="11">
        <f t="shared" si="6"/>
        <v>1091.4700000062585</v>
      </c>
    </row>
    <row r="23" spans="1:8" s="7" customFormat="1" ht="25.9" customHeight="1" x14ac:dyDescent="0.2">
      <c r="A23" s="29" t="s">
        <v>27</v>
      </c>
      <c r="B23" s="29"/>
      <c r="C23" s="8">
        <v>132246</v>
      </c>
      <c r="D23" s="8">
        <v>1355923.27</v>
      </c>
      <c r="E23" s="9">
        <f t="shared" si="5"/>
        <v>1488169.27</v>
      </c>
      <c r="F23" s="8">
        <v>1488169.27</v>
      </c>
      <c r="G23" s="8">
        <v>1373913.39</v>
      </c>
      <c r="H23" s="11">
        <f t="shared" si="6"/>
        <v>0</v>
      </c>
    </row>
    <row r="24" spans="1:8" s="7" customFormat="1" ht="25.9" customHeight="1" x14ac:dyDescent="0.2">
      <c r="A24" s="29" t="s">
        <v>28</v>
      </c>
      <c r="B24" s="29"/>
      <c r="C24" s="8">
        <v>18488653</v>
      </c>
      <c r="D24" s="8">
        <f>8864944.35-1096690.54</f>
        <v>7768253.8099999996</v>
      </c>
      <c r="E24" s="9">
        <f t="shared" si="5"/>
        <v>26256906.809999999</v>
      </c>
      <c r="F24" s="8">
        <f>27353597.35-1096690.54</f>
        <v>26256906.810000002</v>
      </c>
      <c r="G24" s="8">
        <f>27098103.11-1096690.54</f>
        <v>26001412.57</v>
      </c>
      <c r="H24" s="11">
        <f t="shared" si="6"/>
        <v>0</v>
      </c>
    </row>
    <row r="25" spans="1:8" s="7" customFormat="1" ht="25.9" customHeight="1" x14ac:dyDescent="0.2">
      <c r="A25" s="29" t="s">
        <v>29</v>
      </c>
      <c r="B25" s="29"/>
      <c r="C25" s="8">
        <v>1867227</v>
      </c>
      <c r="D25" s="8">
        <f>1236996.63-125917.63</f>
        <v>1111079</v>
      </c>
      <c r="E25" s="9">
        <f t="shared" si="5"/>
        <v>2978306</v>
      </c>
      <c r="F25" s="8">
        <f>3104223.63-125917.63</f>
        <v>2978306</v>
      </c>
      <c r="G25" s="8">
        <f>2857930.38-125917.63</f>
        <v>2732012.75</v>
      </c>
      <c r="H25" s="11">
        <f t="shared" si="6"/>
        <v>0</v>
      </c>
    </row>
    <row r="26" spans="1:8" s="7" customFormat="1" ht="25.9" customHeight="1" x14ac:dyDescent="0.2">
      <c r="A26" s="29" t="s">
        <v>30</v>
      </c>
      <c r="B26" s="29"/>
      <c r="C26" s="8">
        <v>669007</v>
      </c>
      <c r="D26" s="12">
        <v>-669007</v>
      </c>
      <c r="E26" s="9">
        <f t="shared" si="5"/>
        <v>0</v>
      </c>
      <c r="F26" s="8">
        <v>0</v>
      </c>
      <c r="G26" s="8">
        <v>0</v>
      </c>
      <c r="H26" s="11">
        <f t="shared" si="6"/>
        <v>0</v>
      </c>
    </row>
    <row r="27" spans="1:8" s="7" customFormat="1" ht="25.9" customHeight="1" x14ac:dyDescent="0.2">
      <c r="A27" s="29" t="s">
        <v>31</v>
      </c>
      <c r="B27" s="29"/>
      <c r="C27" s="8">
        <v>1988496</v>
      </c>
      <c r="D27" s="8">
        <f>5648301.46-2499315.52</f>
        <v>3148985.94</v>
      </c>
      <c r="E27" s="9">
        <f t="shared" si="5"/>
        <v>5137481.9399999995</v>
      </c>
      <c r="F27" s="8">
        <f>7636792.86-2499315.52</f>
        <v>5137477.34</v>
      </c>
      <c r="G27" s="8">
        <f>6615642.28-2499315.52</f>
        <v>4116326.7600000002</v>
      </c>
      <c r="H27" s="11">
        <f t="shared" si="6"/>
        <v>4.599999999627471</v>
      </c>
    </row>
    <row r="28" spans="1:8" s="7" customFormat="1" ht="25.9" customHeight="1" x14ac:dyDescent="0.2">
      <c r="A28" s="29" t="s">
        <v>32</v>
      </c>
      <c r="B28" s="29"/>
      <c r="C28" s="6">
        <f>SUM(C29:C37)</f>
        <v>105833321.33</v>
      </c>
      <c r="D28" s="6">
        <f t="shared" ref="D28:G28" si="7">SUM(D29:D37)</f>
        <v>45562904.049999997</v>
      </c>
      <c r="E28" s="6">
        <f t="shared" si="7"/>
        <v>151396225.38</v>
      </c>
      <c r="F28" s="6">
        <f t="shared" si="7"/>
        <v>151289637.86000001</v>
      </c>
      <c r="G28" s="6">
        <f t="shared" si="7"/>
        <v>128297307.3</v>
      </c>
      <c r="H28" s="6">
        <v>106588</v>
      </c>
    </row>
    <row r="29" spans="1:8" s="7" customFormat="1" ht="25.9" customHeight="1" x14ac:dyDescent="0.2">
      <c r="A29" s="29" t="s">
        <v>33</v>
      </c>
      <c r="B29" s="29"/>
      <c r="C29" s="8">
        <f>57609005-46640180.36</f>
        <v>10968824.640000001</v>
      </c>
      <c r="D29" s="8">
        <v>28074521.670000002</v>
      </c>
      <c r="E29" s="9">
        <f t="shared" ref="E29:E37" si="8">C29+D29</f>
        <v>39043346.310000002</v>
      </c>
      <c r="F29" s="8">
        <f>85683526.67-46640180.36</f>
        <v>39043346.310000002</v>
      </c>
      <c r="G29" s="8">
        <f>85200257.99-46640180.36</f>
        <v>38560077.629999995</v>
      </c>
      <c r="H29" s="9">
        <f t="shared" ref="H29:H37" si="9">E29-F29</f>
        <v>0</v>
      </c>
    </row>
    <row r="30" spans="1:8" s="7" customFormat="1" ht="25.9" customHeight="1" x14ac:dyDescent="0.2">
      <c r="A30" s="29" t="s">
        <v>34</v>
      </c>
      <c r="B30" s="29"/>
      <c r="C30" s="8">
        <f>22707028-1555676</f>
        <v>21151352</v>
      </c>
      <c r="D30" s="12">
        <v>-38920.47</v>
      </c>
      <c r="E30" s="9">
        <f t="shared" si="8"/>
        <v>21112431.530000001</v>
      </c>
      <c r="F30" s="8">
        <f>22668107.53-1555676</f>
        <v>21112431.530000001</v>
      </c>
      <c r="G30" s="8">
        <f>19794176.1-1555676</f>
        <v>18238500.100000001</v>
      </c>
      <c r="H30" s="9">
        <f t="shared" si="9"/>
        <v>0</v>
      </c>
    </row>
    <row r="31" spans="1:8" s="7" customFormat="1" ht="25.9" customHeight="1" x14ac:dyDescent="0.2">
      <c r="A31" s="29" t="s">
        <v>35</v>
      </c>
      <c r="B31" s="29"/>
      <c r="C31" s="8">
        <v>7256039</v>
      </c>
      <c r="D31" s="8">
        <f>6906104.84-3368307.83</f>
        <v>3537797.01</v>
      </c>
      <c r="E31" s="9">
        <f t="shared" si="8"/>
        <v>10793836.01</v>
      </c>
      <c r="F31" s="8">
        <f>14139510.82-3368307.83</f>
        <v>10771202.99</v>
      </c>
      <c r="G31" s="8">
        <f>10476459.41-2790125.33</f>
        <v>7686334.0800000001</v>
      </c>
      <c r="H31" s="9">
        <f t="shared" si="9"/>
        <v>22633.019999999553</v>
      </c>
    </row>
    <row r="32" spans="1:8" s="7" customFormat="1" ht="25.9" customHeight="1" x14ac:dyDescent="0.2">
      <c r="A32" s="29" t="s">
        <v>36</v>
      </c>
      <c r="B32" s="29"/>
      <c r="C32" s="8">
        <v>835084</v>
      </c>
      <c r="D32" s="8">
        <f>2221648.16-8770.87</f>
        <v>2212877.29</v>
      </c>
      <c r="E32" s="9">
        <f t="shared" si="8"/>
        <v>3047961.29</v>
      </c>
      <c r="F32" s="8">
        <f>3056731.96-8770.87</f>
        <v>3047961.09</v>
      </c>
      <c r="G32" s="8">
        <f>2849264.32-8770.87</f>
        <v>2840493.4499999997</v>
      </c>
      <c r="H32" s="9">
        <f t="shared" si="9"/>
        <v>0.20000000018626451</v>
      </c>
    </row>
    <row r="33" spans="1:8" s="7" customFormat="1" x14ac:dyDescent="0.2">
      <c r="A33" s="29" t="s">
        <v>37</v>
      </c>
      <c r="B33" s="29"/>
      <c r="C33" s="8">
        <f>38246748-20725377.31</f>
        <v>17521370.690000001</v>
      </c>
      <c r="D33" s="8">
        <v>0</v>
      </c>
      <c r="E33" s="9">
        <f t="shared" si="8"/>
        <v>17521370.690000001</v>
      </c>
      <c r="F33" s="8">
        <f>85153196.52-67631826.13</f>
        <v>17521370.390000001</v>
      </c>
      <c r="G33" s="8">
        <f>73821268.49-67631826.13</f>
        <v>6189442.3599999994</v>
      </c>
      <c r="H33" s="9">
        <f t="shared" si="9"/>
        <v>0.30000000074505806</v>
      </c>
    </row>
    <row r="34" spans="1:8" s="7" customFormat="1" x14ac:dyDescent="0.2">
      <c r="A34" s="29" t="s">
        <v>38</v>
      </c>
      <c r="B34" s="29"/>
      <c r="C34" s="8">
        <v>10506247</v>
      </c>
      <c r="D34" s="8">
        <f>13074198.04-89015</f>
        <v>12985183.039999999</v>
      </c>
      <c r="E34" s="9">
        <f t="shared" si="8"/>
        <v>23491430.039999999</v>
      </c>
      <c r="F34" s="8">
        <f>23496490.04-89014</f>
        <v>23407476.039999999</v>
      </c>
      <c r="G34" s="8">
        <f>21994184.04-89014</f>
        <v>21905170.039999999</v>
      </c>
      <c r="H34" s="9">
        <f t="shared" si="9"/>
        <v>83954</v>
      </c>
    </row>
    <row r="35" spans="1:8" s="7" customFormat="1" x14ac:dyDescent="0.2">
      <c r="A35" s="29" t="s">
        <v>39</v>
      </c>
      <c r="B35" s="29"/>
      <c r="C35" s="8">
        <v>964646</v>
      </c>
      <c r="D35" s="8">
        <f>12869363.71-277954.45</f>
        <v>12591409.260000002</v>
      </c>
      <c r="E35" s="9">
        <f t="shared" si="8"/>
        <v>13556055.260000002</v>
      </c>
      <c r="F35" s="8">
        <f>13834009.71-277954.45</f>
        <v>13556055.260000002</v>
      </c>
      <c r="G35" s="8">
        <f>13638082.78-273572.05</f>
        <v>13364510.729999999</v>
      </c>
      <c r="H35" s="9">
        <f t="shared" si="9"/>
        <v>0</v>
      </c>
    </row>
    <row r="36" spans="1:8" s="7" customFormat="1" ht="10.15" x14ac:dyDescent="0.2">
      <c r="A36" s="29" t="s">
        <v>40</v>
      </c>
      <c r="B36" s="29"/>
      <c r="C36" s="8">
        <v>20220632</v>
      </c>
      <c r="D36" s="12">
        <f>-11086482.16-348042.48</f>
        <v>-11434524.640000001</v>
      </c>
      <c r="E36" s="9">
        <f t="shared" si="8"/>
        <v>8786107.3599999994</v>
      </c>
      <c r="F36" s="8">
        <f>9134149.84-348042.48</f>
        <v>8786107.3599999994</v>
      </c>
      <c r="G36" s="8">
        <f>9024645.84-348042.48</f>
        <v>8676603.3599999994</v>
      </c>
      <c r="H36" s="9">
        <f t="shared" si="9"/>
        <v>0</v>
      </c>
    </row>
    <row r="37" spans="1:8" s="7" customFormat="1" ht="10.15" x14ac:dyDescent="0.2">
      <c r="A37" s="29" t="s">
        <v>41</v>
      </c>
      <c r="B37" s="29"/>
      <c r="C37" s="8">
        <v>16409126</v>
      </c>
      <c r="D37" s="13">
        <f>15826.89-2381266</f>
        <v>-2365439.11</v>
      </c>
      <c r="E37" s="9">
        <f t="shared" si="8"/>
        <v>14043686.890000001</v>
      </c>
      <c r="F37" s="8">
        <f>16424952.89-2381266</f>
        <v>14043686.890000001</v>
      </c>
      <c r="G37" s="8">
        <f>13217441.55-2381266</f>
        <v>10836175.550000001</v>
      </c>
      <c r="H37" s="9">
        <f t="shared" si="9"/>
        <v>0</v>
      </c>
    </row>
    <row r="38" spans="1:8" s="7" customFormat="1" ht="10.15" x14ac:dyDescent="0.2">
      <c r="A38" s="29" t="s">
        <v>42</v>
      </c>
      <c r="B38" s="29"/>
      <c r="C38" s="6">
        <f>SUM(C39:C47)</f>
        <v>277610636</v>
      </c>
      <c r="D38" s="6">
        <f t="shared" ref="D38:G38" si="10">SUM(D39:D47)</f>
        <v>18948725.189999998</v>
      </c>
      <c r="E38" s="6">
        <f t="shared" si="10"/>
        <v>296559361.19</v>
      </c>
      <c r="F38" s="6">
        <f t="shared" si="10"/>
        <v>295098313.25999999</v>
      </c>
      <c r="G38" s="6">
        <f t="shared" si="10"/>
        <v>294718004.22000003</v>
      </c>
      <c r="H38" s="6">
        <f>E38-F38</f>
        <v>1461047.9300000072</v>
      </c>
    </row>
    <row r="39" spans="1:8" s="7" customFormat="1" x14ac:dyDescent="0.2">
      <c r="A39" s="29" t="s">
        <v>43</v>
      </c>
      <c r="B39" s="29"/>
      <c r="C39" s="14">
        <v>107112163</v>
      </c>
      <c r="D39" s="14">
        <f>-2608270.45-113755.47</f>
        <v>-2722025.9200000004</v>
      </c>
      <c r="E39" s="14">
        <f>C39+D39</f>
        <v>104390137.08</v>
      </c>
      <c r="F39" s="14">
        <f>104312682.79-113755.47</f>
        <v>104198927.32000001</v>
      </c>
      <c r="G39" s="14">
        <f>104076645.3-113755.47</f>
        <v>103962889.83</v>
      </c>
      <c r="H39" s="14">
        <f>E39-F39</f>
        <v>191209.75999999046</v>
      </c>
    </row>
    <row r="40" spans="1:8" s="7" customFormat="1" x14ac:dyDescent="0.2">
      <c r="A40" s="29" t="s">
        <v>44</v>
      </c>
      <c r="B40" s="29"/>
      <c r="C40" s="14">
        <v>20051691</v>
      </c>
      <c r="D40" s="14">
        <v>-17744622.460000001</v>
      </c>
      <c r="E40" s="14">
        <f t="shared" ref="E40:E43" si="11">C40+D40</f>
        <v>2307068.5399999991</v>
      </c>
      <c r="F40" s="14">
        <v>1052431.68</v>
      </c>
      <c r="G40" s="14">
        <v>1032431.68</v>
      </c>
      <c r="H40" s="14">
        <f t="shared" ref="H40:H42" si="12">E40-F40</f>
        <v>1254636.8599999992</v>
      </c>
    </row>
    <row r="41" spans="1:8" s="7" customFormat="1" ht="10.15" x14ac:dyDescent="0.2">
      <c r="A41" s="29" t="s">
        <v>45</v>
      </c>
      <c r="B41" s="29"/>
      <c r="C41" s="15">
        <v>0</v>
      </c>
      <c r="D41" s="14">
        <v>1039500</v>
      </c>
      <c r="E41" s="14">
        <f t="shared" si="11"/>
        <v>1039500</v>
      </c>
      <c r="F41" s="14">
        <v>1039500</v>
      </c>
      <c r="G41" s="14">
        <v>1039500</v>
      </c>
      <c r="H41" s="8">
        <v>0</v>
      </c>
    </row>
    <row r="42" spans="1:8" s="7" customFormat="1" ht="10.15" x14ac:dyDescent="0.2">
      <c r="A42" s="29" t="s">
        <v>46</v>
      </c>
      <c r="B42" s="29"/>
      <c r="C42" s="14">
        <v>122805957</v>
      </c>
      <c r="D42" s="14">
        <v>18522320.850000001</v>
      </c>
      <c r="E42" s="14">
        <f t="shared" si="11"/>
        <v>141328277.84999999</v>
      </c>
      <c r="F42" s="14">
        <v>141313076.53999999</v>
      </c>
      <c r="G42" s="14">
        <v>141188804.99000001</v>
      </c>
      <c r="H42" s="14">
        <f t="shared" si="12"/>
        <v>15201.310000002384</v>
      </c>
    </row>
    <row r="43" spans="1:8" s="7" customFormat="1" ht="10.15" x14ac:dyDescent="0.2">
      <c r="A43" s="29" t="s">
        <v>47</v>
      </c>
      <c r="B43" s="29"/>
      <c r="C43" s="14">
        <v>27640825</v>
      </c>
      <c r="D43" s="14">
        <v>19853552.719999999</v>
      </c>
      <c r="E43" s="14">
        <f t="shared" si="11"/>
        <v>47494377.719999999</v>
      </c>
      <c r="F43" s="14">
        <v>47494377.719999999</v>
      </c>
      <c r="G43" s="14">
        <v>47494377.719999999</v>
      </c>
      <c r="H43" s="8">
        <v>0</v>
      </c>
    </row>
    <row r="44" spans="1:8" s="7" customFormat="1" x14ac:dyDescent="0.2">
      <c r="A44" s="29" t="s">
        <v>48</v>
      </c>
      <c r="B44" s="29"/>
      <c r="C44" s="15">
        <v>0</v>
      </c>
      <c r="D44" s="15">
        <v>0</v>
      </c>
      <c r="E44" s="15">
        <v>0</v>
      </c>
      <c r="F44" s="15">
        <v>0</v>
      </c>
      <c r="G44" s="16">
        <v>0</v>
      </c>
      <c r="H44" s="16">
        <v>0</v>
      </c>
    </row>
    <row r="45" spans="1:8" s="7" customFormat="1" ht="10.15" x14ac:dyDescent="0.2">
      <c r="A45" s="29" t="s">
        <v>49</v>
      </c>
      <c r="B45" s="29"/>
      <c r="C45" s="15">
        <v>0</v>
      </c>
      <c r="D45" s="15">
        <v>0</v>
      </c>
      <c r="E45" s="15">
        <v>0</v>
      </c>
      <c r="F45" s="15">
        <v>0</v>
      </c>
      <c r="G45" s="16">
        <v>0</v>
      </c>
      <c r="H45" s="16">
        <v>0</v>
      </c>
    </row>
    <row r="46" spans="1:8" s="7" customFormat="1" ht="10.15" x14ac:dyDescent="0.2">
      <c r="A46" s="29" t="s">
        <v>50</v>
      </c>
      <c r="B46" s="29"/>
      <c r="C46" s="15">
        <v>0</v>
      </c>
      <c r="D46" s="15">
        <v>0</v>
      </c>
      <c r="E46" s="15">
        <v>0</v>
      </c>
      <c r="F46" s="15">
        <v>0</v>
      </c>
      <c r="G46" s="16">
        <v>0</v>
      </c>
      <c r="H46" s="16">
        <v>0</v>
      </c>
    </row>
    <row r="47" spans="1:8" s="7" customFormat="1" ht="10.15" x14ac:dyDescent="0.2">
      <c r="A47" s="29" t="s">
        <v>51</v>
      </c>
      <c r="B47" s="29"/>
      <c r="C47" s="15">
        <v>0</v>
      </c>
      <c r="D47" s="15">
        <v>0</v>
      </c>
      <c r="E47" s="15">
        <v>0</v>
      </c>
      <c r="F47" s="15">
        <v>0</v>
      </c>
      <c r="G47" s="16">
        <v>0</v>
      </c>
      <c r="H47" s="16">
        <v>0</v>
      </c>
    </row>
    <row r="48" spans="1:8" s="7" customFormat="1" ht="18.600000000000001" customHeight="1" x14ac:dyDescent="0.2">
      <c r="A48" s="29" t="s">
        <v>52</v>
      </c>
      <c r="B48" s="29"/>
      <c r="C48" s="6">
        <f>SUM(C49:C57)</f>
        <v>2101480</v>
      </c>
      <c r="D48" s="6">
        <f t="shared" ref="D48:G48" si="13">SUM(D49:D57)</f>
        <v>1804431.8699999996</v>
      </c>
      <c r="E48" s="6">
        <f t="shared" si="13"/>
        <v>3905911.8699999992</v>
      </c>
      <c r="F48" s="6">
        <f t="shared" si="13"/>
        <v>3863896.58</v>
      </c>
      <c r="G48" s="6">
        <f t="shared" si="13"/>
        <v>3206880.86</v>
      </c>
      <c r="H48" s="6">
        <f>SUM(H49:H57)</f>
        <v>42015.289999999804</v>
      </c>
    </row>
    <row r="49" spans="1:8" s="7" customFormat="1" x14ac:dyDescent="0.2">
      <c r="A49" s="29" t="s">
        <v>53</v>
      </c>
      <c r="B49" s="29"/>
      <c r="C49" s="8">
        <v>1561806</v>
      </c>
      <c r="D49" s="13">
        <f>966377.98-1445300.3</f>
        <v>-478922.32000000007</v>
      </c>
      <c r="E49" s="9">
        <f t="shared" ref="E49:E57" si="14">C49+D49</f>
        <v>1082883.68</v>
      </c>
      <c r="F49" s="8">
        <f>2486168.7-1445300.3</f>
        <v>1040868.4000000001</v>
      </c>
      <c r="G49" s="8">
        <f>1916197.55-1408180.3</f>
        <v>508017.25</v>
      </c>
      <c r="H49" s="9">
        <f t="shared" ref="H49:H57" si="15">E49-F49</f>
        <v>42015.279999999795</v>
      </c>
    </row>
    <row r="50" spans="1:8" s="7" customFormat="1" ht="10.15" x14ac:dyDescent="0.2">
      <c r="A50" s="29" t="s">
        <v>54</v>
      </c>
      <c r="B50" s="29"/>
      <c r="C50" s="8">
        <v>101400</v>
      </c>
      <c r="D50" s="13">
        <f>3367711.26-3425621.99</f>
        <v>-57910.730000000447</v>
      </c>
      <c r="E50" s="9">
        <f t="shared" si="14"/>
        <v>43489.269999999553</v>
      </c>
      <c r="F50" s="8">
        <f>3469111.26-3425621.99</f>
        <v>43489.269999999553</v>
      </c>
      <c r="G50" s="8">
        <f>3459754.06-3425621.99</f>
        <v>34132.069999999832</v>
      </c>
      <c r="H50" s="9">
        <f t="shared" si="15"/>
        <v>0</v>
      </c>
    </row>
    <row r="51" spans="1:8" s="7" customFormat="1" x14ac:dyDescent="0.2">
      <c r="A51" s="29" t="s">
        <v>55</v>
      </c>
      <c r="B51" s="29"/>
      <c r="C51" s="8">
        <v>0</v>
      </c>
      <c r="D51" s="8">
        <v>0</v>
      </c>
      <c r="E51" s="9">
        <f t="shared" si="14"/>
        <v>0</v>
      </c>
      <c r="F51" s="8">
        <f>554083.65-554083.65</f>
        <v>0</v>
      </c>
      <c r="G51" s="8">
        <f>554083.65-554083.65</f>
        <v>0</v>
      </c>
      <c r="H51" s="9">
        <f t="shared" si="15"/>
        <v>0</v>
      </c>
    </row>
    <row r="52" spans="1:8" s="7" customFormat="1" x14ac:dyDescent="0.2">
      <c r="A52" s="29" t="s">
        <v>56</v>
      </c>
      <c r="B52" s="29"/>
      <c r="C52" s="8">
        <v>11175</v>
      </c>
      <c r="D52" s="8">
        <f>3688600-2169875</f>
        <v>1518725</v>
      </c>
      <c r="E52" s="9">
        <f t="shared" si="14"/>
        <v>1529900</v>
      </c>
      <c r="F52" s="8">
        <f>3699775-2169875</f>
        <v>1529900</v>
      </c>
      <c r="G52" s="8">
        <f>3699775-2169875</f>
        <v>1529900</v>
      </c>
      <c r="H52" s="9">
        <f t="shared" si="15"/>
        <v>0</v>
      </c>
    </row>
    <row r="53" spans="1:8" s="7" customFormat="1" ht="10.15" x14ac:dyDescent="0.2">
      <c r="A53" s="29" t="s">
        <v>57</v>
      </c>
      <c r="B53" s="29"/>
      <c r="C53" s="8">
        <v>0</v>
      </c>
      <c r="D53" s="8">
        <v>0</v>
      </c>
      <c r="E53" s="9">
        <f t="shared" si="14"/>
        <v>0</v>
      </c>
      <c r="F53" s="8">
        <v>0</v>
      </c>
      <c r="G53" s="8">
        <v>0</v>
      </c>
      <c r="H53" s="9">
        <f t="shared" si="15"/>
        <v>0</v>
      </c>
    </row>
    <row r="54" spans="1:8" s="7" customFormat="1" ht="10.15" x14ac:dyDescent="0.2">
      <c r="A54" s="29" t="s">
        <v>58</v>
      </c>
      <c r="B54" s="29"/>
      <c r="C54" s="8">
        <v>427099</v>
      </c>
      <c r="D54" s="8">
        <f>887094.43-124554.51</f>
        <v>762539.92</v>
      </c>
      <c r="E54" s="9">
        <f t="shared" si="14"/>
        <v>1189638.92</v>
      </c>
      <c r="F54" s="8">
        <f>1314193.42-124554.51</f>
        <v>1189638.9099999999</v>
      </c>
      <c r="G54" s="8">
        <f>1199386.05-124554.51</f>
        <v>1074831.54</v>
      </c>
      <c r="H54" s="9">
        <f t="shared" si="15"/>
        <v>1.0000000009313226E-2</v>
      </c>
    </row>
    <row r="55" spans="1:8" s="7" customFormat="1" x14ac:dyDescent="0.2">
      <c r="A55" s="29" t="s">
        <v>59</v>
      </c>
      <c r="B55" s="29"/>
      <c r="C55" s="8">
        <v>0</v>
      </c>
      <c r="D55" s="8">
        <v>0</v>
      </c>
      <c r="E55" s="9">
        <f t="shared" si="14"/>
        <v>0</v>
      </c>
      <c r="F55" s="8">
        <v>0</v>
      </c>
      <c r="G55" s="8">
        <v>0</v>
      </c>
      <c r="H55" s="9">
        <f t="shared" si="15"/>
        <v>0</v>
      </c>
    </row>
    <row r="56" spans="1:8" s="7" customFormat="1" ht="10.15" x14ac:dyDescent="0.2">
      <c r="A56" s="29" t="s">
        <v>60</v>
      </c>
      <c r="B56" s="29"/>
      <c r="C56" s="8">
        <v>0</v>
      </c>
      <c r="D56" s="8">
        <v>60000</v>
      </c>
      <c r="E56" s="9">
        <f t="shared" si="14"/>
        <v>60000</v>
      </c>
      <c r="F56" s="8">
        <v>60000</v>
      </c>
      <c r="G56" s="8">
        <v>60000</v>
      </c>
      <c r="H56" s="9">
        <f t="shared" si="15"/>
        <v>0</v>
      </c>
    </row>
    <row r="57" spans="1:8" s="7" customFormat="1" ht="10.15" x14ac:dyDescent="0.2">
      <c r="A57" s="29" t="s">
        <v>61</v>
      </c>
      <c r="B57" s="29"/>
      <c r="C57" s="8">
        <v>0</v>
      </c>
      <c r="D57" s="8">
        <v>0</v>
      </c>
      <c r="E57" s="9">
        <f t="shared" si="14"/>
        <v>0</v>
      </c>
      <c r="F57" s="8">
        <v>0</v>
      </c>
      <c r="G57" s="8">
        <v>0</v>
      </c>
      <c r="H57" s="9">
        <f t="shared" si="15"/>
        <v>0</v>
      </c>
    </row>
    <row r="58" spans="1:8" s="7" customFormat="1" x14ac:dyDescent="0.2">
      <c r="A58" s="29" t="s">
        <v>62</v>
      </c>
      <c r="B58" s="29"/>
      <c r="C58" s="15">
        <v>0</v>
      </c>
      <c r="D58" s="15">
        <v>0</v>
      </c>
      <c r="E58" s="15">
        <v>0</v>
      </c>
      <c r="F58" s="16">
        <v>0</v>
      </c>
      <c r="G58" s="16">
        <v>0</v>
      </c>
      <c r="H58" s="16">
        <v>0</v>
      </c>
    </row>
    <row r="59" spans="1:8" s="7" customFormat="1" x14ac:dyDescent="0.2">
      <c r="A59" s="29" t="s">
        <v>63</v>
      </c>
      <c r="B59" s="29"/>
      <c r="C59" s="15">
        <v>0</v>
      </c>
      <c r="D59" s="15">
        <v>0</v>
      </c>
      <c r="E59" s="15">
        <v>0</v>
      </c>
      <c r="F59" s="16">
        <v>0</v>
      </c>
      <c r="G59" s="16">
        <v>0</v>
      </c>
      <c r="H59" s="16">
        <v>0</v>
      </c>
    </row>
    <row r="60" spans="1:8" s="7" customFormat="1" x14ac:dyDescent="0.2">
      <c r="A60" s="29" t="s">
        <v>64</v>
      </c>
      <c r="B60" s="29"/>
      <c r="C60" s="15">
        <v>0</v>
      </c>
      <c r="D60" s="15">
        <v>0</v>
      </c>
      <c r="E60" s="15">
        <v>0</v>
      </c>
      <c r="F60" s="16">
        <v>0</v>
      </c>
      <c r="G60" s="16">
        <v>0</v>
      </c>
      <c r="H60" s="16">
        <v>0</v>
      </c>
    </row>
    <row r="61" spans="1:8" s="7" customFormat="1" ht="10.15" x14ac:dyDescent="0.2">
      <c r="A61" s="29" t="s">
        <v>65</v>
      </c>
      <c r="B61" s="29"/>
      <c r="C61" s="15">
        <v>0</v>
      </c>
      <c r="D61" s="15">
        <v>0</v>
      </c>
      <c r="E61" s="15">
        <v>0</v>
      </c>
      <c r="F61" s="16">
        <v>0</v>
      </c>
      <c r="G61" s="16">
        <v>0</v>
      </c>
      <c r="H61" s="16">
        <v>0</v>
      </c>
    </row>
    <row r="62" spans="1:8" s="7" customFormat="1" ht="10.15" x14ac:dyDescent="0.2">
      <c r="A62" s="29" t="s">
        <v>66</v>
      </c>
      <c r="B62" s="29"/>
      <c r="C62" s="15">
        <v>0</v>
      </c>
      <c r="D62" s="15">
        <v>0</v>
      </c>
      <c r="E62" s="15">
        <v>0</v>
      </c>
      <c r="F62" s="16">
        <v>0</v>
      </c>
      <c r="G62" s="16">
        <v>0</v>
      </c>
      <c r="H62" s="16">
        <v>0</v>
      </c>
    </row>
    <row r="63" spans="1:8" s="7" customFormat="1" ht="10.15" x14ac:dyDescent="0.2">
      <c r="A63" s="29" t="s">
        <v>67</v>
      </c>
      <c r="B63" s="29"/>
      <c r="C63" s="15">
        <v>0</v>
      </c>
      <c r="D63" s="15">
        <v>0</v>
      </c>
      <c r="E63" s="15">
        <v>0</v>
      </c>
      <c r="F63" s="16">
        <v>0</v>
      </c>
      <c r="G63" s="16">
        <v>0</v>
      </c>
      <c r="H63" s="16">
        <v>0</v>
      </c>
    </row>
    <row r="64" spans="1:8" s="7" customFormat="1" ht="10.15" x14ac:dyDescent="0.2">
      <c r="A64" s="29" t="s">
        <v>68</v>
      </c>
      <c r="B64" s="29"/>
      <c r="C64" s="15">
        <v>0</v>
      </c>
      <c r="D64" s="15">
        <v>0</v>
      </c>
      <c r="E64" s="15">
        <v>0</v>
      </c>
      <c r="F64" s="16">
        <v>0</v>
      </c>
      <c r="G64" s="16">
        <v>0</v>
      </c>
      <c r="H64" s="16">
        <v>0</v>
      </c>
    </row>
    <row r="65" spans="1:8" s="7" customFormat="1" x14ac:dyDescent="0.2">
      <c r="A65" s="29" t="s">
        <v>69</v>
      </c>
      <c r="B65" s="29"/>
      <c r="C65" s="15">
        <v>0</v>
      </c>
      <c r="D65" s="15">
        <v>0</v>
      </c>
      <c r="E65" s="15">
        <v>0</v>
      </c>
      <c r="F65" s="16">
        <v>0</v>
      </c>
      <c r="G65" s="16">
        <v>0</v>
      </c>
      <c r="H65" s="16">
        <v>0</v>
      </c>
    </row>
    <row r="66" spans="1:8" s="7" customFormat="1" x14ac:dyDescent="0.2">
      <c r="A66" s="29" t="s">
        <v>70</v>
      </c>
      <c r="B66" s="29"/>
      <c r="C66" s="15">
        <v>0</v>
      </c>
      <c r="D66" s="15">
        <v>0</v>
      </c>
      <c r="E66" s="15">
        <v>0</v>
      </c>
      <c r="F66" s="16">
        <v>0</v>
      </c>
      <c r="G66" s="16">
        <v>0</v>
      </c>
      <c r="H66" s="16">
        <v>0</v>
      </c>
    </row>
    <row r="67" spans="1:8" s="7" customFormat="1" x14ac:dyDescent="0.2">
      <c r="A67" s="29" t="s">
        <v>71</v>
      </c>
      <c r="B67" s="29"/>
      <c r="C67" s="15">
        <v>0</v>
      </c>
      <c r="D67" s="15">
        <v>0</v>
      </c>
      <c r="E67" s="15">
        <v>0</v>
      </c>
      <c r="F67" s="16">
        <v>0</v>
      </c>
      <c r="G67" s="16">
        <v>0</v>
      </c>
      <c r="H67" s="16">
        <v>0</v>
      </c>
    </row>
    <row r="68" spans="1:8" s="7" customFormat="1" ht="10.15" x14ac:dyDescent="0.2">
      <c r="A68" s="29" t="s">
        <v>72</v>
      </c>
      <c r="B68" s="29"/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</row>
    <row r="69" spans="1:8" s="7" customFormat="1" ht="10.15" x14ac:dyDescent="0.2">
      <c r="A69" s="29" t="s">
        <v>73</v>
      </c>
      <c r="B69" s="29"/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</row>
    <row r="70" spans="1:8" s="7" customFormat="1" ht="10.15" x14ac:dyDescent="0.2">
      <c r="A70" s="29" t="s">
        <v>74</v>
      </c>
      <c r="B70" s="29"/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</row>
    <row r="71" spans="1:8" s="7" customFormat="1" ht="10.15" x14ac:dyDescent="0.2">
      <c r="A71" s="29" t="s">
        <v>75</v>
      </c>
      <c r="B71" s="29"/>
      <c r="C71" s="17">
        <v>0.39999999850988388</v>
      </c>
      <c r="D71" s="18">
        <f t="shared" ref="D71:G71" si="16">SUM(D72:D74)</f>
        <v>635266</v>
      </c>
      <c r="E71" s="18">
        <f t="shared" si="16"/>
        <v>635266</v>
      </c>
      <c r="F71" s="17">
        <f t="shared" si="16"/>
        <v>635265.60000000149</v>
      </c>
      <c r="G71" s="17">
        <f t="shared" si="16"/>
        <v>635265.60000000149</v>
      </c>
      <c r="H71" s="6">
        <f>E71-F71</f>
        <v>0.39999999850988388</v>
      </c>
    </row>
    <row r="72" spans="1:8" s="7" customFormat="1" ht="10.15" x14ac:dyDescent="0.2">
      <c r="A72" s="29" t="s">
        <v>76</v>
      </c>
      <c r="B72" s="29"/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</row>
    <row r="73" spans="1:8" s="7" customFormat="1" ht="10.15" x14ac:dyDescent="0.2">
      <c r="A73" s="29" t="s">
        <v>77</v>
      </c>
      <c r="B73" s="29"/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</row>
    <row r="74" spans="1:8" s="7" customFormat="1" ht="10.15" x14ac:dyDescent="0.2">
      <c r="A74" s="29" t="s">
        <v>78</v>
      </c>
      <c r="B74" s="29"/>
      <c r="C74" s="16">
        <v>0</v>
      </c>
      <c r="D74" s="14">
        <v>635266</v>
      </c>
      <c r="E74" s="14">
        <f>C74+D74</f>
        <v>635266</v>
      </c>
      <c r="F74" s="14">
        <f>19935067.6-19299802</f>
        <v>635265.60000000149</v>
      </c>
      <c r="G74" s="14">
        <f>19935067.6-19299802</f>
        <v>635265.60000000149</v>
      </c>
      <c r="H74" s="16">
        <v>0</v>
      </c>
    </row>
    <row r="75" spans="1:8" s="7" customFormat="1" x14ac:dyDescent="0.2">
      <c r="A75" s="29" t="s">
        <v>79</v>
      </c>
      <c r="B75" s="29"/>
      <c r="C75" s="6">
        <f>SUM(C76:C82)</f>
        <v>22435843</v>
      </c>
      <c r="D75" s="6">
        <f t="shared" ref="D75:H75" si="17">SUM(D76:D82)</f>
        <v>30378763.749999996</v>
      </c>
      <c r="E75" s="6">
        <f t="shared" si="17"/>
        <v>52814606.75</v>
      </c>
      <c r="F75" s="6">
        <f t="shared" si="17"/>
        <v>52813437.600000009</v>
      </c>
      <c r="G75" s="6">
        <f t="shared" si="17"/>
        <v>52813437.600000009</v>
      </c>
      <c r="H75" s="6">
        <f t="shared" si="17"/>
        <v>1169.1499999910593</v>
      </c>
    </row>
    <row r="76" spans="1:8" s="7" customFormat="1" x14ac:dyDescent="0.2">
      <c r="A76" s="29" t="s">
        <v>80</v>
      </c>
      <c r="B76" s="29"/>
      <c r="C76" s="14">
        <v>17416996</v>
      </c>
      <c r="D76" s="14">
        <v>-12000000.109999999</v>
      </c>
      <c r="E76" s="14">
        <f>C76+D76</f>
        <v>5416995.8900000006</v>
      </c>
      <c r="F76" s="14">
        <v>5416995.8899999997</v>
      </c>
      <c r="G76" s="14">
        <v>5416995.8899999997</v>
      </c>
      <c r="H76" s="16">
        <v>0</v>
      </c>
    </row>
    <row r="77" spans="1:8" s="7" customFormat="1" x14ac:dyDescent="0.2">
      <c r="A77" s="29" t="s">
        <v>81</v>
      </c>
      <c r="B77" s="29"/>
      <c r="C77" s="14">
        <v>5018847</v>
      </c>
      <c r="D77" s="14">
        <v>-276526.02</v>
      </c>
      <c r="E77" s="14">
        <f t="shared" ref="E77:E82" si="18">C77+D77</f>
        <v>4742320.9800000004</v>
      </c>
      <c r="F77" s="14">
        <v>4742320.9800000004</v>
      </c>
      <c r="G77" s="14">
        <v>4742320.9800000004</v>
      </c>
      <c r="H77" s="16">
        <v>0</v>
      </c>
    </row>
    <row r="78" spans="1:8" s="7" customFormat="1" x14ac:dyDescent="0.2">
      <c r="A78" s="29" t="s">
        <v>82</v>
      </c>
      <c r="B78" s="29"/>
      <c r="C78" s="16">
        <v>0</v>
      </c>
      <c r="D78" s="16">
        <v>0</v>
      </c>
      <c r="E78" s="14">
        <f t="shared" si="18"/>
        <v>0</v>
      </c>
      <c r="F78" s="16">
        <v>0</v>
      </c>
      <c r="G78" s="16">
        <v>0</v>
      </c>
      <c r="H78" s="16">
        <v>0</v>
      </c>
    </row>
    <row r="79" spans="1:8" s="7" customFormat="1" x14ac:dyDescent="0.2">
      <c r="A79" s="29" t="s">
        <v>83</v>
      </c>
      <c r="B79" s="29"/>
      <c r="C79" s="16">
        <v>0</v>
      </c>
      <c r="D79" s="16">
        <v>0</v>
      </c>
      <c r="E79" s="14">
        <f t="shared" si="18"/>
        <v>0</v>
      </c>
      <c r="F79" s="16">
        <v>0</v>
      </c>
      <c r="G79" s="16">
        <v>0</v>
      </c>
      <c r="H79" s="16">
        <v>0</v>
      </c>
    </row>
    <row r="80" spans="1:8" s="7" customFormat="1" ht="10.15" x14ac:dyDescent="0.2">
      <c r="A80" s="29" t="s">
        <v>84</v>
      </c>
      <c r="B80" s="29"/>
      <c r="C80" s="16">
        <v>0</v>
      </c>
      <c r="D80" s="16">
        <v>0</v>
      </c>
      <c r="E80" s="14">
        <f t="shared" si="18"/>
        <v>0</v>
      </c>
      <c r="F80" s="16">
        <v>0</v>
      </c>
      <c r="G80" s="16">
        <v>0</v>
      </c>
      <c r="H80" s="16">
        <v>0</v>
      </c>
    </row>
    <row r="81" spans="1:8" s="7" customFormat="1" ht="10.15" x14ac:dyDescent="0.2">
      <c r="A81" s="29" t="s">
        <v>85</v>
      </c>
      <c r="B81" s="29"/>
      <c r="C81" s="16">
        <v>0</v>
      </c>
      <c r="D81" s="16">
        <v>0</v>
      </c>
      <c r="E81" s="14">
        <f t="shared" si="18"/>
        <v>0</v>
      </c>
      <c r="F81" s="16">
        <v>0</v>
      </c>
      <c r="G81" s="16">
        <v>0</v>
      </c>
      <c r="H81" s="16">
        <v>0</v>
      </c>
    </row>
    <row r="82" spans="1:8" s="7" customFormat="1" ht="10.15" x14ac:dyDescent="0.2">
      <c r="A82" s="29" t="s">
        <v>86</v>
      </c>
      <c r="B82" s="29"/>
      <c r="C82" s="16">
        <v>0</v>
      </c>
      <c r="D82" s="14">
        <f>67870555.57-25215265.69</f>
        <v>42655289.879999995</v>
      </c>
      <c r="E82" s="14">
        <f t="shared" si="18"/>
        <v>42655289.879999995</v>
      </c>
      <c r="F82" s="19">
        <f>67869386.42-25215265.69</f>
        <v>42654120.730000004</v>
      </c>
      <c r="G82" s="19">
        <f>67869386.42-25215265.69</f>
        <v>42654120.730000004</v>
      </c>
      <c r="H82" s="14">
        <f>E82-F82</f>
        <v>1169.1499999910593</v>
      </c>
    </row>
    <row r="83" spans="1:8" s="7" customFormat="1" ht="10.15" x14ac:dyDescent="0.2">
      <c r="A83" s="30"/>
      <c r="B83" s="30"/>
      <c r="C83" s="20"/>
      <c r="D83" s="21"/>
      <c r="E83" s="21"/>
      <c r="F83" s="19"/>
      <c r="G83" s="21"/>
      <c r="H83" s="21"/>
    </row>
    <row r="84" spans="1:8" s="7" customFormat="1" ht="10.15" x14ac:dyDescent="0.2">
      <c r="A84" s="30" t="s">
        <v>87</v>
      </c>
      <c r="B84" s="30"/>
      <c r="C84" s="6">
        <f>C85+C93+C103+C113+C123+C133+C137+C146+C150</f>
        <v>343494155.67000002</v>
      </c>
      <c r="D84" s="6">
        <f t="shared" ref="D84:G84" si="19">D85+D93+D103+D113+D123+D133+D137+D146+D150</f>
        <v>26064972.580000002</v>
      </c>
      <c r="E84" s="6">
        <f t="shared" si="19"/>
        <v>369559128.24999994</v>
      </c>
      <c r="F84" s="6">
        <f t="shared" si="19"/>
        <v>351385354.46999997</v>
      </c>
      <c r="G84" s="6">
        <f t="shared" si="19"/>
        <v>330816461.35999995</v>
      </c>
      <c r="H84" s="6">
        <f>E84-F84</f>
        <v>18173773.779999971</v>
      </c>
    </row>
    <row r="85" spans="1:8" s="22" customFormat="1" ht="10.15" x14ac:dyDescent="0.2">
      <c r="A85" s="30" t="s">
        <v>14</v>
      </c>
      <c r="B85" s="30"/>
      <c r="C85" s="21">
        <f>SUM(C86:C92)</f>
        <v>0</v>
      </c>
      <c r="D85" s="17">
        <f t="shared" ref="D85:G85" si="20">SUM(D86:D92)</f>
        <v>12122337.640000001</v>
      </c>
      <c r="E85" s="17">
        <f t="shared" si="20"/>
        <v>12122337.640000001</v>
      </c>
      <c r="F85" s="17">
        <f t="shared" si="20"/>
        <v>12122337.640000001</v>
      </c>
      <c r="G85" s="17">
        <f t="shared" si="20"/>
        <v>12122337.640000001</v>
      </c>
      <c r="H85" s="8">
        <v>0</v>
      </c>
    </row>
    <row r="86" spans="1:8" s="7" customFormat="1" x14ac:dyDescent="0.2">
      <c r="A86" s="29" t="s">
        <v>15</v>
      </c>
      <c r="B86" s="29"/>
      <c r="C86" s="16">
        <v>0</v>
      </c>
      <c r="D86" s="16">
        <v>0</v>
      </c>
      <c r="E86" s="16">
        <v>0</v>
      </c>
      <c r="F86" s="8">
        <v>0</v>
      </c>
      <c r="G86" s="8">
        <v>0</v>
      </c>
      <c r="H86" s="16">
        <v>0</v>
      </c>
    </row>
    <row r="87" spans="1:8" s="7" customFormat="1" x14ac:dyDescent="0.2">
      <c r="A87" s="29" t="s">
        <v>16</v>
      </c>
      <c r="B87" s="29"/>
      <c r="C87" s="16">
        <v>0</v>
      </c>
      <c r="D87" s="16">
        <v>0</v>
      </c>
      <c r="E87" s="16">
        <v>0</v>
      </c>
      <c r="F87" s="8">
        <v>0</v>
      </c>
      <c r="G87" s="8">
        <v>0</v>
      </c>
      <c r="H87" s="16">
        <v>0</v>
      </c>
    </row>
    <row r="88" spans="1:8" s="7" customFormat="1" ht="10.15" x14ac:dyDescent="0.2">
      <c r="A88" s="29" t="s">
        <v>17</v>
      </c>
      <c r="B88" s="29"/>
      <c r="C88" s="16">
        <v>0</v>
      </c>
      <c r="D88" s="16">
        <v>0</v>
      </c>
      <c r="E88" s="16">
        <v>0</v>
      </c>
      <c r="F88" s="8">
        <v>0</v>
      </c>
      <c r="G88" s="8">
        <v>0</v>
      </c>
      <c r="H88" s="16">
        <v>0</v>
      </c>
    </row>
    <row r="89" spans="1:8" s="7" customFormat="1" ht="10.15" x14ac:dyDescent="0.2">
      <c r="A89" s="29" t="s">
        <v>18</v>
      </c>
      <c r="B89" s="29"/>
      <c r="C89" s="16">
        <v>0</v>
      </c>
      <c r="D89" s="14">
        <v>11502337.640000001</v>
      </c>
      <c r="E89" s="10">
        <f>SUM(C89:D89)</f>
        <v>11502337.640000001</v>
      </c>
      <c r="F89" s="14">
        <v>11502337.640000001</v>
      </c>
      <c r="G89" s="14">
        <v>11502337.640000001</v>
      </c>
      <c r="H89" s="8">
        <v>0</v>
      </c>
    </row>
    <row r="90" spans="1:8" s="7" customFormat="1" x14ac:dyDescent="0.2">
      <c r="A90" s="29" t="s">
        <v>19</v>
      </c>
      <c r="B90" s="29"/>
      <c r="C90" s="16">
        <v>0</v>
      </c>
      <c r="D90" s="14">
        <v>620000</v>
      </c>
      <c r="E90" s="10">
        <f>SUM(C90:D90)</f>
        <v>620000</v>
      </c>
      <c r="F90" s="14">
        <v>620000</v>
      </c>
      <c r="G90" s="14">
        <v>620000</v>
      </c>
      <c r="H90" s="8">
        <v>0</v>
      </c>
    </row>
    <row r="91" spans="1:8" s="7" customFormat="1" ht="10.15" x14ac:dyDescent="0.2">
      <c r="A91" s="29" t="s">
        <v>20</v>
      </c>
      <c r="B91" s="29"/>
      <c r="C91" s="16">
        <v>0</v>
      </c>
      <c r="D91" s="16">
        <v>0</v>
      </c>
      <c r="E91" s="16">
        <v>0</v>
      </c>
      <c r="F91" s="8">
        <v>0</v>
      </c>
      <c r="G91" s="8">
        <v>0</v>
      </c>
      <c r="H91" s="16">
        <v>0</v>
      </c>
    </row>
    <row r="92" spans="1:8" s="7" customFormat="1" x14ac:dyDescent="0.2">
      <c r="A92" s="29" t="s">
        <v>21</v>
      </c>
      <c r="B92" s="29"/>
      <c r="C92" s="16">
        <v>0</v>
      </c>
      <c r="D92" s="16">
        <v>0</v>
      </c>
      <c r="E92" s="16">
        <v>0</v>
      </c>
      <c r="F92" s="8">
        <v>0</v>
      </c>
      <c r="G92" s="8">
        <v>0</v>
      </c>
      <c r="H92" s="16">
        <v>0</v>
      </c>
    </row>
    <row r="93" spans="1:8" s="22" customFormat="1" ht="10.15" x14ac:dyDescent="0.2">
      <c r="A93" s="30" t="s">
        <v>22</v>
      </c>
      <c r="B93" s="30"/>
      <c r="C93" s="21">
        <f>SUM(C94:C102)</f>
        <v>0</v>
      </c>
      <c r="D93" s="17">
        <f t="shared" ref="D93:F93" si="21">SUM(D94:D102)</f>
        <v>12398521.369999999</v>
      </c>
      <c r="E93" s="17">
        <f t="shared" si="21"/>
        <v>12398521.369999999</v>
      </c>
      <c r="F93" s="17">
        <f t="shared" si="21"/>
        <v>12398521.369999999</v>
      </c>
      <c r="G93" s="17">
        <f>SUM(G94:G102)</f>
        <v>12398521.369999999</v>
      </c>
      <c r="H93" s="21">
        <v>0</v>
      </c>
    </row>
    <row r="94" spans="1:8" s="7" customFormat="1" x14ac:dyDescent="0.2">
      <c r="A94" s="29" t="s">
        <v>23</v>
      </c>
      <c r="B94" s="29"/>
      <c r="C94" s="16">
        <v>0</v>
      </c>
      <c r="D94" s="14">
        <v>218569.60000000001</v>
      </c>
      <c r="E94" s="10">
        <f>C94+D94</f>
        <v>218569.60000000001</v>
      </c>
      <c r="F94" s="14">
        <v>218569.60000000001</v>
      </c>
      <c r="G94" s="14">
        <v>218569.60000000001</v>
      </c>
      <c r="H94" s="16">
        <v>0</v>
      </c>
    </row>
    <row r="95" spans="1:8" s="7" customFormat="1" ht="10.15" x14ac:dyDescent="0.2">
      <c r="A95" s="29" t="s">
        <v>24</v>
      </c>
      <c r="B95" s="29"/>
      <c r="C95" s="16">
        <v>0</v>
      </c>
      <c r="D95" s="14">
        <v>289644.01</v>
      </c>
      <c r="E95" s="10">
        <f t="shared" ref="E95:E102" si="22">C95+D95</f>
        <v>289644.01</v>
      </c>
      <c r="F95" s="14">
        <v>289644.01</v>
      </c>
      <c r="G95" s="14">
        <v>289644.01</v>
      </c>
      <c r="H95" s="16">
        <v>0</v>
      </c>
    </row>
    <row r="96" spans="1:8" s="7" customFormat="1" x14ac:dyDescent="0.2">
      <c r="A96" s="29" t="s">
        <v>25</v>
      </c>
      <c r="B96" s="29"/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</row>
    <row r="97" spans="1:8" s="7" customFormat="1" x14ac:dyDescent="0.2">
      <c r="A97" s="29" t="s">
        <v>26</v>
      </c>
      <c r="B97" s="29"/>
      <c r="C97" s="16">
        <v>0</v>
      </c>
      <c r="D97" s="14">
        <v>8168384.0700000003</v>
      </c>
      <c r="E97" s="10">
        <f t="shared" si="22"/>
        <v>8168384.0700000003</v>
      </c>
      <c r="F97" s="14">
        <v>8168384.0700000003</v>
      </c>
      <c r="G97" s="14">
        <v>8168384.0700000003</v>
      </c>
      <c r="H97" s="16">
        <v>0</v>
      </c>
    </row>
    <row r="98" spans="1:8" s="7" customFormat="1" x14ac:dyDescent="0.2">
      <c r="A98" s="29" t="s">
        <v>27</v>
      </c>
      <c r="B98" s="29"/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</row>
    <row r="99" spans="1:8" s="7" customFormat="1" ht="10.15" x14ac:dyDescent="0.2">
      <c r="A99" s="29" t="s">
        <v>28</v>
      </c>
      <c r="B99" s="29"/>
      <c r="C99" s="16">
        <v>0</v>
      </c>
      <c r="D99" s="14">
        <v>1096690.54</v>
      </c>
      <c r="E99" s="10">
        <f t="shared" si="22"/>
        <v>1096690.54</v>
      </c>
      <c r="F99" s="14">
        <v>1096690.54</v>
      </c>
      <c r="G99" s="14">
        <v>1096690.54</v>
      </c>
      <c r="H99" s="16">
        <v>0</v>
      </c>
    </row>
    <row r="100" spans="1:8" s="7" customFormat="1" x14ac:dyDescent="0.2">
      <c r="A100" s="29" t="s">
        <v>29</v>
      </c>
      <c r="B100" s="29"/>
      <c r="C100" s="16">
        <v>0</v>
      </c>
      <c r="D100" s="14">
        <v>125917.63</v>
      </c>
      <c r="E100" s="10">
        <f t="shared" si="22"/>
        <v>125917.63</v>
      </c>
      <c r="F100" s="14">
        <v>125917.63</v>
      </c>
      <c r="G100" s="14">
        <v>125917.63</v>
      </c>
      <c r="H100" s="16">
        <v>0</v>
      </c>
    </row>
    <row r="101" spans="1:8" s="7" customFormat="1" ht="10.15" x14ac:dyDescent="0.2">
      <c r="A101" s="29" t="s">
        <v>30</v>
      </c>
      <c r="B101" s="29"/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</row>
    <row r="102" spans="1:8" s="7" customFormat="1" ht="10.15" x14ac:dyDescent="0.2">
      <c r="A102" s="29" t="s">
        <v>31</v>
      </c>
      <c r="B102" s="29"/>
      <c r="C102" s="16">
        <v>0</v>
      </c>
      <c r="D102" s="14">
        <v>2499315.52</v>
      </c>
      <c r="E102" s="10">
        <f t="shared" si="22"/>
        <v>2499315.52</v>
      </c>
      <c r="F102" s="14">
        <v>2499315.52</v>
      </c>
      <c r="G102" s="14">
        <v>2499315.52</v>
      </c>
      <c r="H102" s="16">
        <v>0</v>
      </c>
    </row>
    <row r="103" spans="1:8" s="22" customFormat="1" ht="10.15" x14ac:dyDescent="0.2">
      <c r="A103" s="30" t="s">
        <v>32</v>
      </c>
      <c r="B103" s="30"/>
      <c r="C103" s="17">
        <f>SUM(C104:C112)</f>
        <v>68921233.670000002</v>
      </c>
      <c r="D103" s="17">
        <f t="shared" ref="D103:G103" si="23">SUM(D104:D112)</f>
        <v>53379804.630000003</v>
      </c>
      <c r="E103" s="17">
        <f t="shared" si="23"/>
        <v>122301038.30000001</v>
      </c>
      <c r="F103" s="17">
        <f t="shared" si="23"/>
        <v>122301038.12</v>
      </c>
      <c r="G103" s="17">
        <f t="shared" si="23"/>
        <v>121718473.22</v>
      </c>
      <c r="H103" s="6">
        <f>E103-F103</f>
        <v>0.18000000715255737</v>
      </c>
    </row>
    <row r="104" spans="1:8" s="7" customFormat="1" x14ac:dyDescent="0.2">
      <c r="A104" s="29" t="s">
        <v>33</v>
      </c>
      <c r="B104" s="29"/>
      <c r="C104" s="14">
        <v>46640180.359999999</v>
      </c>
      <c r="D104" s="23">
        <v>0</v>
      </c>
      <c r="E104" s="24">
        <f t="shared" ref="E104:E112" si="24">C104+D104</f>
        <v>46640180.359999999</v>
      </c>
      <c r="F104" s="19">
        <v>46640180.359999999</v>
      </c>
      <c r="G104" s="19">
        <v>46640180.359999999</v>
      </c>
      <c r="H104" s="16">
        <v>0</v>
      </c>
    </row>
    <row r="105" spans="1:8" s="7" customFormat="1" ht="10.15" x14ac:dyDescent="0.2">
      <c r="A105" s="29" t="s">
        <v>34</v>
      </c>
      <c r="B105" s="29"/>
      <c r="C105" s="14">
        <v>1555676</v>
      </c>
      <c r="D105" s="20">
        <v>0</v>
      </c>
      <c r="E105" s="24">
        <f t="shared" si="24"/>
        <v>1555676</v>
      </c>
      <c r="F105" s="19">
        <v>1555676</v>
      </c>
      <c r="G105" s="19">
        <v>1555676</v>
      </c>
      <c r="H105" s="16">
        <v>0</v>
      </c>
    </row>
    <row r="106" spans="1:8" s="7" customFormat="1" x14ac:dyDescent="0.2">
      <c r="A106" s="29" t="s">
        <v>35</v>
      </c>
      <c r="B106" s="29"/>
      <c r="C106" s="16">
        <v>0</v>
      </c>
      <c r="D106" s="14">
        <v>3368307.83</v>
      </c>
      <c r="E106" s="10">
        <f t="shared" si="24"/>
        <v>3368307.83</v>
      </c>
      <c r="F106" s="14">
        <v>3368307.83</v>
      </c>
      <c r="G106" s="14">
        <f>3368307.83-578182.5</f>
        <v>2790125.33</v>
      </c>
      <c r="H106" s="16">
        <v>0</v>
      </c>
    </row>
    <row r="107" spans="1:8" s="7" customFormat="1" ht="10.15" x14ac:dyDescent="0.2">
      <c r="A107" s="29" t="s">
        <v>36</v>
      </c>
      <c r="B107" s="29"/>
      <c r="C107" s="16">
        <v>0</v>
      </c>
      <c r="D107" s="14">
        <v>8770.8700000000008</v>
      </c>
      <c r="E107" s="10">
        <f t="shared" si="24"/>
        <v>8770.8700000000008</v>
      </c>
      <c r="F107" s="14">
        <v>8770.8700000000008</v>
      </c>
      <c r="G107" s="14">
        <v>8770.8700000000008</v>
      </c>
      <c r="H107" s="16">
        <v>0</v>
      </c>
    </row>
    <row r="108" spans="1:8" s="7" customFormat="1" x14ac:dyDescent="0.2">
      <c r="A108" s="29" t="s">
        <v>37</v>
      </c>
      <c r="B108" s="29"/>
      <c r="C108" s="14">
        <v>20725377.309999999</v>
      </c>
      <c r="D108" s="14">
        <v>46906449</v>
      </c>
      <c r="E108" s="10">
        <f t="shared" si="24"/>
        <v>67631826.310000002</v>
      </c>
      <c r="F108" s="14">
        <v>67631826.129999995</v>
      </c>
      <c r="G108" s="14">
        <v>67631826.129999995</v>
      </c>
      <c r="H108" s="16">
        <v>0</v>
      </c>
    </row>
    <row r="109" spans="1:8" s="7" customFormat="1" x14ac:dyDescent="0.2">
      <c r="A109" s="29" t="s">
        <v>38</v>
      </c>
      <c r="B109" s="29"/>
      <c r="C109" s="16">
        <v>0</v>
      </c>
      <c r="D109" s="14">
        <v>89014</v>
      </c>
      <c r="E109" s="10">
        <f t="shared" si="24"/>
        <v>89014</v>
      </c>
      <c r="F109" s="14">
        <v>89014</v>
      </c>
      <c r="G109" s="14">
        <v>89014</v>
      </c>
      <c r="H109" s="16">
        <v>0</v>
      </c>
    </row>
    <row r="110" spans="1:8" s="7" customFormat="1" x14ac:dyDescent="0.2">
      <c r="A110" s="29" t="s">
        <v>39</v>
      </c>
      <c r="B110" s="29"/>
      <c r="C110" s="16">
        <v>0</v>
      </c>
      <c r="D110" s="14">
        <v>277954.45</v>
      </c>
      <c r="E110" s="10">
        <f t="shared" si="24"/>
        <v>277954.45</v>
      </c>
      <c r="F110" s="14">
        <v>277954.45</v>
      </c>
      <c r="G110" s="14">
        <f>277954.45-4382.4</f>
        <v>273572.05</v>
      </c>
      <c r="H110" s="16">
        <v>0</v>
      </c>
    </row>
    <row r="111" spans="1:8" s="7" customFormat="1" ht="10.15" x14ac:dyDescent="0.2">
      <c r="A111" s="29" t="s">
        <v>40</v>
      </c>
      <c r="B111" s="29"/>
      <c r="C111" s="16">
        <v>0</v>
      </c>
      <c r="D111" s="14">
        <v>348042.48</v>
      </c>
      <c r="E111" s="10">
        <f t="shared" si="24"/>
        <v>348042.48</v>
      </c>
      <c r="F111" s="14">
        <v>348042.48</v>
      </c>
      <c r="G111" s="14">
        <v>348042.48</v>
      </c>
      <c r="H111" s="16">
        <v>0</v>
      </c>
    </row>
    <row r="112" spans="1:8" s="7" customFormat="1" ht="10.15" x14ac:dyDescent="0.2">
      <c r="A112" s="29" t="s">
        <v>41</v>
      </c>
      <c r="B112" s="29"/>
      <c r="C112" s="16">
        <v>0</v>
      </c>
      <c r="D112" s="14">
        <v>2381266</v>
      </c>
      <c r="E112" s="10">
        <f t="shared" si="24"/>
        <v>2381266</v>
      </c>
      <c r="F112" s="14">
        <v>2381266</v>
      </c>
      <c r="G112" s="14">
        <v>2381266</v>
      </c>
      <c r="H112" s="16">
        <v>0</v>
      </c>
    </row>
    <row r="113" spans="1:8" s="22" customFormat="1" ht="10.15" x14ac:dyDescent="0.2">
      <c r="A113" s="30" t="s">
        <v>42</v>
      </c>
      <c r="B113" s="30"/>
      <c r="C113" s="21">
        <f>SUM(C114:C122)</f>
        <v>0</v>
      </c>
      <c r="D113" s="17">
        <f t="shared" ref="D113:H113" si="25">SUM(D114:D122)</f>
        <v>113755.47</v>
      </c>
      <c r="E113" s="17">
        <f t="shared" si="25"/>
        <v>113755.47</v>
      </c>
      <c r="F113" s="17">
        <f t="shared" si="25"/>
        <v>113755.47</v>
      </c>
      <c r="G113" s="17">
        <f t="shared" si="25"/>
        <v>113755.47</v>
      </c>
      <c r="H113" s="21">
        <f t="shared" si="25"/>
        <v>0</v>
      </c>
    </row>
    <row r="114" spans="1:8" s="7" customFormat="1" x14ac:dyDescent="0.2">
      <c r="A114" s="29" t="s">
        <v>43</v>
      </c>
      <c r="B114" s="29"/>
      <c r="C114" s="16">
        <v>0</v>
      </c>
      <c r="D114" s="14">
        <v>113755.47</v>
      </c>
      <c r="E114" s="10">
        <f>C114+D114</f>
        <v>113755.47</v>
      </c>
      <c r="F114" s="14">
        <v>113755.47</v>
      </c>
      <c r="G114" s="14">
        <v>113755.47</v>
      </c>
      <c r="H114" s="16">
        <v>0</v>
      </c>
    </row>
    <row r="115" spans="1:8" s="7" customFormat="1" x14ac:dyDescent="0.2">
      <c r="A115" s="29" t="s">
        <v>44</v>
      </c>
      <c r="B115" s="29"/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</row>
    <row r="116" spans="1:8" s="7" customFormat="1" ht="10.15" x14ac:dyDescent="0.2">
      <c r="A116" s="29" t="s">
        <v>45</v>
      </c>
      <c r="B116" s="29"/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</row>
    <row r="117" spans="1:8" s="7" customFormat="1" ht="10.15" x14ac:dyDescent="0.2">
      <c r="A117" s="29" t="s">
        <v>46</v>
      </c>
      <c r="B117" s="29"/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</row>
    <row r="118" spans="1:8" s="7" customFormat="1" ht="10.15" x14ac:dyDescent="0.2">
      <c r="A118" s="29" t="s">
        <v>47</v>
      </c>
      <c r="B118" s="29"/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</row>
    <row r="119" spans="1:8" s="7" customFormat="1" x14ac:dyDescent="0.2">
      <c r="A119" s="29" t="s">
        <v>48</v>
      </c>
      <c r="B119" s="29"/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</row>
    <row r="120" spans="1:8" s="7" customFormat="1" ht="10.15" x14ac:dyDescent="0.2">
      <c r="A120" s="29" t="s">
        <v>49</v>
      </c>
      <c r="B120" s="29"/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</row>
    <row r="121" spans="1:8" s="7" customFormat="1" ht="10.15" x14ac:dyDescent="0.2">
      <c r="A121" s="29" t="s">
        <v>50</v>
      </c>
      <c r="B121" s="29"/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</row>
    <row r="122" spans="1:8" s="7" customFormat="1" ht="10.15" x14ac:dyDescent="0.2">
      <c r="A122" s="29" t="s">
        <v>51</v>
      </c>
      <c r="B122" s="29"/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</row>
    <row r="123" spans="1:8" s="22" customFormat="1" ht="10.15" x14ac:dyDescent="0.2">
      <c r="A123" s="30" t="s">
        <v>52</v>
      </c>
      <c r="B123" s="30"/>
      <c r="C123" s="21">
        <f>SUM(C124:C132)</f>
        <v>0</v>
      </c>
      <c r="D123" s="17">
        <f t="shared" ref="D123:H123" si="26">SUM(D124:D132)</f>
        <v>7719435.4500000002</v>
      </c>
      <c r="E123" s="17">
        <f t="shared" si="26"/>
        <v>7719435.4500000002</v>
      </c>
      <c r="F123" s="17">
        <f t="shared" si="26"/>
        <v>7719435.4500000002</v>
      </c>
      <c r="G123" s="17">
        <f t="shared" si="26"/>
        <v>7682315.4500000002</v>
      </c>
      <c r="H123" s="21">
        <f t="shared" si="26"/>
        <v>0</v>
      </c>
    </row>
    <row r="124" spans="1:8" s="7" customFormat="1" x14ac:dyDescent="0.2">
      <c r="A124" s="29" t="s">
        <v>53</v>
      </c>
      <c r="B124" s="29"/>
      <c r="C124" s="16">
        <v>0</v>
      </c>
      <c r="D124" s="14">
        <v>1445300.3</v>
      </c>
      <c r="E124" s="10">
        <f>C124+D124</f>
        <v>1445300.3</v>
      </c>
      <c r="F124" s="14">
        <v>1445300.3</v>
      </c>
      <c r="G124" s="14">
        <f>1445300.3-37120</f>
        <v>1408180.3</v>
      </c>
      <c r="H124" s="16">
        <v>0</v>
      </c>
    </row>
    <row r="125" spans="1:8" s="7" customFormat="1" ht="10.15" x14ac:dyDescent="0.2">
      <c r="A125" s="29" t="s">
        <v>54</v>
      </c>
      <c r="B125" s="29"/>
      <c r="C125" s="16">
        <v>0</v>
      </c>
      <c r="D125" s="14">
        <v>3425621.99</v>
      </c>
      <c r="E125" s="10">
        <f t="shared" ref="E125:E129" si="27">C125+D125</f>
        <v>3425621.99</v>
      </c>
      <c r="F125" s="14">
        <v>3425621.99</v>
      </c>
      <c r="G125" s="14">
        <v>3425621.99</v>
      </c>
      <c r="H125" s="16">
        <v>0</v>
      </c>
    </row>
    <row r="126" spans="1:8" s="7" customFormat="1" x14ac:dyDescent="0.2">
      <c r="A126" s="29" t="s">
        <v>55</v>
      </c>
      <c r="B126" s="29"/>
      <c r="C126" s="16">
        <v>0</v>
      </c>
      <c r="D126" s="14">
        <v>554083.65</v>
      </c>
      <c r="E126" s="10">
        <f t="shared" si="27"/>
        <v>554083.65</v>
      </c>
      <c r="F126" s="14">
        <v>554083.65</v>
      </c>
      <c r="G126" s="14">
        <v>554083.65</v>
      </c>
      <c r="H126" s="16">
        <v>0</v>
      </c>
    </row>
    <row r="127" spans="1:8" s="7" customFormat="1" x14ac:dyDescent="0.2">
      <c r="A127" s="29" t="s">
        <v>56</v>
      </c>
      <c r="B127" s="29"/>
      <c r="C127" s="16">
        <v>0</v>
      </c>
      <c r="D127" s="14">
        <v>2169875</v>
      </c>
      <c r="E127" s="10">
        <f t="shared" si="27"/>
        <v>2169875</v>
      </c>
      <c r="F127" s="14">
        <v>2169875</v>
      </c>
      <c r="G127" s="14">
        <v>2169875</v>
      </c>
      <c r="H127" s="16">
        <v>0</v>
      </c>
    </row>
    <row r="128" spans="1:8" s="7" customFormat="1" ht="10.15" x14ac:dyDescent="0.2">
      <c r="A128" s="29" t="s">
        <v>57</v>
      </c>
      <c r="B128" s="29"/>
      <c r="C128" s="16">
        <v>0</v>
      </c>
      <c r="D128" s="8">
        <v>0</v>
      </c>
      <c r="E128" s="8">
        <v>0</v>
      </c>
      <c r="F128" s="8">
        <v>0</v>
      </c>
      <c r="G128" s="8">
        <v>0</v>
      </c>
      <c r="H128" s="16">
        <v>0</v>
      </c>
    </row>
    <row r="129" spans="1:8" s="7" customFormat="1" ht="10.15" x14ac:dyDescent="0.2">
      <c r="A129" s="29" t="s">
        <v>58</v>
      </c>
      <c r="B129" s="29"/>
      <c r="C129" s="16">
        <v>0</v>
      </c>
      <c r="D129" s="14">
        <v>124554.51</v>
      </c>
      <c r="E129" s="10">
        <f t="shared" si="27"/>
        <v>124554.51</v>
      </c>
      <c r="F129" s="14">
        <v>124554.51</v>
      </c>
      <c r="G129" s="14">
        <v>124554.51</v>
      </c>
      <c r="H129" s="16">
        <v>0</v>
      </c>
    </row>
    <row r="130" spans="1:8" s="7" customFormat="1" x14ac:dyDescent="0.2">
      <c r="A130" s="29" t="s">
        <v>59</v>
      </c>
      <c r="B130" s="29"/>
      <c r="C130" s="16">
        <v>0</v>
      </c>
      <c r="D130" s="16">
        <v>0</v>
      </c>
      <c r="E130" s="16">
        <v>0</v>
      </c>
      <c r="F130" s="8">
        <v>0</v>
      </c>
      <c r="G130" s="8">
        <v>0</v>
      </c>
      <c r="H130" s="16">
        <v>0</v>
      </c>
    </row>
    <row r="131" spans="1:8" s="7" customFormat="1" ht="10.15" x14ac:dyDescent="0.2">
      <c r="A131" s="29" t="s">
        <v>60</v>
      </c>
      <c r="B131" s="29"/>
      <c r="C131" s="16">
        <v>0</v>
      </c>
      <c r="D131" s="16">
        <v>0</v>
      </c>
      <c r="E131" s="16">
        <v>0</v>
      </c>
      <c r="F131" s="8">
        <v>0</v>
      </c>
      <c r="G131" s="8">
        <v>0</v>
      </c>
      <c r="H131" s="16">
        <v>0</v>
      </c>
    </row>
    <row r="132" spans="1:8" s="7" customFormat="1" ht="10.15" x14ac:dyDescent="0.2">
      <c r="A132" s="29" t="s">
        <v>61</v>
      </c>
      <c r="B132" s="29"/>
      <c r="C132" s="16">
        <v>0</v>
      </c>
      <c r="D132" s="16">
        <v>0</v>
      </c>
      <c r="E132" s="16">
        <v>0</v>
      </c>
      <c r="F132" s="8">
        <v>0</v>
      </c>
      <c r="G132" s="8">
        <v>0</v>
      </c>
      <c r="H132" s="16">
        <v>0</v>
      </c>
    </row>
    <row r="133" spans="1:8" s="7" customFormat="1" x14ac:dyDescent="0.2">
      <c r="A133" s="31" t="s">
        <v>62</v>
      </c>
      <c r="B133" s="31"/>
      <c r="C133" s="6">
        <f>SUM(C134:C136)</f>
        <v>274572922</v>
      </c>
      <c r="D133" s="6">
        <f t="shared" ref="D133:G133" si="28">SUM(D134:D136)</f>
        <v>-104183949.67</v>
      </c>
      <c r="E133" s="6">
        <f t="shared" si="28"/>
        <v>170388972.32999998</v>
      </c>
      <c r="F133" s="6">
        <f t="shared" si="28"/>
        <v>152215198.72999999</v>
      </c>
      <c r="G133" s="6">
        <f t="shared" si="28"/>
        <v>132265990.52</v>
      </c>
      <c r="H133" s="6">
        <f>E133-F133</f>
        <v>18173773.599999994</v>
      </c>
    </row>
    <row r="134" spans="1:8" s="7" customFormat="1" x14ac:dyDescent="0.2">
      <c r="A134" s="29" t="s">
        <v>63</v>
      </c>
      <c r="B134" s="29"/>
      <c r="C134" s="14">
        <v>267910010</v>
      </c>
      <c r="D134" s="14">
        <v>-103631127.87</v>
      </c>
      <c r="E134" s="14">
        <f>C134+D134</f>
        <v>164278882.13</v>
      </c>
      <c r="F134" s="14">
        <v>146105108.53</v>
      </c>
      <c r="G134" s="14">
        <v>126155900.31999999</v>
      </c>
      <c r="H134" s="14">
        <v>18173773.600000001</v>
      </c>
    </row>
    <row r="135" spans="1:8" s="7" customFormat="1" x14ac:dyDescent="0.2">
      <c r="A135" s="29" t="s">
        <v>64</v>
      </c>
      <c r="B135" s="29"/>
      <c r="C135" s="14">
        <v>6611262</v>
      </c>
      <c r="D135" s="14">
        <v>-501171.8</v>
      </c>
      <c r="E135" s="14">
        <f>C135+D135</f>
        <v>6110090.2000000002</v>
      </c>
      <c r="F135" s="14">
        <v>6110090.2000000002</v>
      </c>
      <c r="G135" s="14">
        <v>6110090.2000000002</v>
      </c>
      <c r="H135" s="16">
        <v>0</v>
      </c>
    </row>
    <row r="136" spans="1:8" s="7" customFormat="1" ht="10.15" x14ac:dyDescent="0.2">
      <c r="A136" s="29" t="s">
        <v>65</v>
      </c>
      <c r="B136" s="29"/>
      <c r="C136" s="14">
        <v>51650</v>
      </c>
      <c r="D136" s="14">
        <v>-51650</v>
      </c>
      <c r="E136" s="16">
        <v>0</v>
      </c>
      <c r="F136" s="16">
        <v>0</v>
      </c>
      <c r="G136" s="16">
        <v>0</v>
      </c>
      <c r="H136" s="16">
        <v>0</v>
      </c>
    </row>
    <row r="137" spans="1:8" s="22" customFormat="1" ht="10.15" x14ac:dyDescent="0.2">
      <c r="A137" s="30" t="s">
        <v>66</v>
      </c>
      <c r="B137" s="30"/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</row>
    <row r="138" spans="1:8" s="7" customFormat="1" ht="10.15" x14ac:dyDescent="0.2">
      <c r="A138" s="29" t="s">
        <v>67</v>
      </c>
      <c r="B138" s="29"/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</row>
    <row r="139" spans="1:8" s="7" customFormat="1" ht="10.15" x14ac:dyDescent="0.2">
      <c r="A139" s="29" t="s">
        <v>68</v>
      </c>
      <c r="B139" s="29"/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</row>
    <row r="140" spans="1:8" s="7" customFormat="1" x14ac:dyDescent="0.2">
      <c r="A140" s="29" t="s">
        <v>69</v>
      </c>
      <c r="B140" s="29"/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</row>
    <row r="141" spans="1:8" s="7" customFormat="1" x14ac:dyDescent="0.2">
      <c r="A141" s="29" t="s">
        <v>70</v>
      </c>
      <c r="B141" s="29"/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</row>
    <row r="142" spans="1:8" s="7" customFormat="1" x14ac:dyDescent="0.2">
      <c r="A142" s="29" t="s">
        <v>71</v>
      </c>
      <c r="B142" s="29"/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</row>
    <row r="143" spans="1:8" s="7" customFormat="1" ht="10.15" x14ac:dyDescent="0.2">
      <c r="A143" s="29" t="s">
        <v>72</v>
      </c>
      <c r="B143" s="29"/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</row>
    <row r="144" spans="1:8" s="7" customFormat="1" ht="10.15" x14ac:dyDescent="0.2">
      <c r="A144" s="29" t="s">
        <v>73</v>
      </c>
      <c r="B144" s="29"/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</row>
    <row r="145" spans="1:8" s="7" customFormat="1" ht="10.15" x14ac:dyDescent="0.2">
      <c r="A145" s="29" t="s">
        <v>74</v>
      </c>
      <c r="B145" s="29"/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</row>
    <row r="146" spans="1:8" s="22" customFormat="1" ht="10.15" x14ac:dyDescent="0.2">
      <c r="A146" s="30" t="s">
        <v>75</v>
      </c>
      <c r="B146" s="30"/>
      <c r="C146" s="21">
        <f>SUM(C147:C149)</f>
        <v>0</v>
      </c>
      <c r="D146" s="17">
        <f t="shared" ref="D146:H146" si="29">SUM(D147:D149)</f>
        <v>19299802</v>
      </c>
      <c r="E146" s="17">
        <f t="shared" si="29"/>
        <v>19299802</v>
      </c>
      <c r="F146" s="17">
        <f t="shared" si="29"/>
        <v>19299802</v>
      </c>
      <c r="G146" s="17">
        <f t="shared" si="29"/>
        <v>19299802</v>
      </c>
      <c r="H146" s="21">
        <f t="shared" si="29"/>
        <v>0</v>
      </c>
    </row>
    <row r="147" spans="1:8" s="7" customFormat="1" ht="10.15" x14ac:dyDescent="0.2">
      <c r="A147" s="29" t="s">
        <v>76</v>
      </c>
      <c r="B147" s="29"/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</row>
    <row r="148" spans="1:8" s="7" customFormat="1" ht="10.15" x14ac:dyDescent="0.2">
      <c r="A148" s="29" t="s">
        <v>77</v>
      </c>
      <c r="B148" s="29"/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</row>
    <row r="149" spans="1:8" s="7" customFormat="1" ht="10.15" x14ac:dyDescent="0.2">
      <c r="A149" s="29" t="s">
        <v>78</v>
      </c>
      <c r="B149" s="29"/>
      <c r="C149" s="16">
        <v>0</v>
      </c>
      <c r="D149" s="14">
        <v>19299802</v>
      </c>
      <c r="E149" s="10">
        <f>C149+D149</f>
        <v>19299802</v>
      </c>
      <c r="F149" s="14">
        <v>19299802</v>
      </c>
      <c r="G149" s="14">
        <v>19299802</v>
      </c>
      <c r="H149" s="16">
        <v>0</v>
      </c>
    </row>
    <row r="150" spans="1:8" s="22" customFormat="1" x14ac:dyDescent="0.2">
      <c r="A150" s="30" t="s">
        <v>79</v>
      </c>
      <c r="B150" s="30"/>
      <c r="C150" s="21">
        <f>SUM(C151:C157)</f>
        <v>0</v>
      </c>
      <c r="D150" s="17">
        <f t="shared" ref="D150:H150" si="30">SUM(D151:D157)</f>
        <v>25215265.690000001</v>
      </c>
      <c r="E150" s="17">
        <f t="shared" si="30"/>
        <v>25215265.690000001</v>
      </c>
      <c r="F150" s="17">
        <f t="shared" si="30"/>
        <v>25215265.690000001</v>
      </c>
      <c r="G150" s="17">
        <f t="shared" si="30"/>
        <v>25215265.690000001</v>
      </c>
      <c r="H150" s="21">
        <f t="shared" si="30"/>
        <v>0</v>
      </c>
    </row>
    <row r="151" spans="1:8" s="7" customFormat="1" x14ac:dyDescent="0.2">
      <c r="A151" s="29" t="s">
        <v>80</v>
      </c>
      <c r="B151" s="29"/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</row>
    <row r="152" spans="1:8" s="7" customFormat="1" x14ac:dyDescent="0.2">
      <c r="A152" s="29" t="s">
        <v>81</v>
      </c>
      <c r="B152" s="29"/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</row>
    <row r="153" spans="1:8" s="7" customFormat="1" x14ac:dyDescent="0.2">
      <c r="A153" s="29" t="s">
        <v>82</v>
      </c>
      <c r="B153" s="29"/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</row>
    <row r="154" spans="1:8" s="7" customFormat="1" x14ac:dyDescent="0.2">
      <c r="A154" s="29" t="s">
        <v>83</v>
      </c>
      <c r="B154" s="29"/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</row>
    <row r="155" spans="1:8" s="7" customFormat="1" ht="10.15" x14ac:dyDescent="0.2">
      <c r="A155" s="29" t="s">
        <v>84</v>
      </c>
      <c r="B155" s="29"/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</row>
    <row r="156" spans="1:8" s="7" customFormat="1" ht="10.15" x14ac:dyDescent="0.2">
      <c r="A156" s="29" t="s">
        <v>85</v>
      </c>
      <c r="B156" s="29"/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</row>
    <row r="157" spans="1:8" s="7" customFormat="1" ht="10.15" x14ac:dyDescent="0.2">
      <c r="A157" s="29" t="s">
        <v>86</v>
      </c>
      <c r="B157" s="29"/>
      <c r="C157" s="16">
        <v>0</v>
      </c>
      <c r="D157" s="14">
        <v>25215265.690000001</v>
      </c>
      <c r="E157" s="10">
        <f>C157+D157</f>
        <v>25215265.690000001</v>
      </c>
      <c r="F157" s="14">
        <v>25215265.690000001</v>
      </c>
      <c r="G157" s="14">
        <v>25215265.690000001</v>
      </c>
      <c r="H157" s="16">
        <v>0</v>
      </c>
    </row>
    <row r="158" spans="1:8" s="7" customFormat="1" ht="10.15" x14ac:dyDescent="0.2">
      <c r="A158" s="25"/>
      <c r="B158" s="25"/>
      <c r="C158" s="16"/>
      <c r="D158" s="16"/>
      <c r="E158" s="16"/>
      <c r="F158" s="16"/>
      <c r="G158" s="16"/>
      <c r="H158" s="16"/>
    </row>
    <row r="159" spans="1:8" s="7" customFormat="1" ht="10.15" x14ac:dyDescent="0.2">
      <c r="A159" s="30" t="s">
        <v>88</v>
      </c>
      <c r="B159" s="30"/>
      <c r="C159" s="6">
        <f>C9+C84</f>
        <v>983603686.39999986</v>
      </c>
      <c r="D159" s="6">
        <f t="shared" ref="D159:G159" si="31">D9+D84</f>
        <v>361977747.06</v>
      </c>
      <c r="E159" s="6">
        <f t="shared" si="31"/>
        <v>1345581433.0599999</v>
      </c>
      <c r="F159" s="6">
        <f t="shared" si="31"/>
        <v>1325789182.9000001</v>
      </c>
      <c r="G159" s="6">
        <f t="shared" si="31"/>
        <v>1259247476.74</v>
      </c>
      <c r="H159" s="6">
        <f>H9+H84</f>
        <v>19792250.159999967</v>
      </c>
    </row>
    <row r="160" spans="1:8" s="7" customFormat="1" ht="10.15" x14ac:dyDescent="0.2">
      <c r="A160" s="26"/>
      <c r="B160" s="26"/>
      <c r="C160" s="27"/>
      <c r="D160" s="27"/>
      <c r="E160" s="27"/>
      <c r="F160" s="27"/>
      <c r="G160" s="27"/>
      <c r="H160" s="27"/>
    </row>
    <row r="161" spans="4:7" s="7" customFormat="1" ht="10.15" x14ac:dyDescent="0.2">
      <c r="D161" s="28"/>
      <c r="E161" s="28"/>
      <c r="G161" s="28"/>
    </row>
    <row r="162" spans="4:7" s="7" customFormat="1" ht="10.15" x14ac:dyDescent="0.2"/>
  </sheetData>
  <mergeCells count="159">
    <mergeCell ref="A1:H1"/>
    <mergeCell ref="A2:H2"/>
    <mergeCell ref="A3:H3"/>
    <mergeCell ref="A4:H4"/>
    <mergeCell ref="A5:H5"/>
    <mergeCell ref="A6:H6"/>
    <mergeCell ref="A12:B12"/>
    <mergeCell ref="A13:B13"/>
    <mergeCell ref="A14:B14"/>
    <mergeCell ref="A15:B15"/>
    <mergeCell ref="A16:B16"/>
    <mergeCell ref="A17:B17"/>
    <mergeCell ref="A7:B8"/>
    <mergeCell ref="C7:G7"/>
    <mergeCell ref="H7:H8"/>
    <mergeCell ref="A9:B9"/>
    <mergeCell ref="A10:B10"/>
    <mergeCell ref="A11:B11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A142:B142"/>
    <mergeCell ref="A143:B143"/>
    <mergeCell ref="A156:B156"/>
    <mergeCell ref="A157:B157"/>
    <mergeCell ref="A159:B159"/>
    <mergeCell ref="A150:B150"/>
    <mergeCell ref="A151:B151"/>
    <mergeCell ref="A152:B152"/>
    <mergeCell ref="A153:B153"/>
    <mergeCell ref="A154:B154"/>
    <mergeCell ref="A155:B155"/>
  </mergeCells>
  <pageMargins left="0.11811023622047245" right="0" top="0.35433070866141736" bottom="0.35433070866141736" header="0.31496062992125984" footer="0.31496062992125984"/>
  <pageSetup paperSize="1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OG</vt:lpstr>
      <vt:lpstr>'egresos OG'!Títulos_a_imprimir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ISABEL</cp:lastModifiedBy>
  <dcterms:created xsi:type="dcterms:W3CDTF">2017-11-29T21:52:44Z</dcterms:created>
  <dcterms:modified xsi:type="dcterms:W3CDTF">2018-01-22T20:43:34Z</dcterms:modified>
</cp:coreProperties>
</file>